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amers\Desktop\"/>
    </mc:Choice>
  </mc:AlternateContent>
  <xr:revisionPtr revIDLastSave="0" documentId="13_ncr:1_{0C72C367-E37E-4938-A505-6C1CAF8CD90B}" xr6:coauthVersionLast="47" xr6:coauthVersionMax="47" xr10:uidLastSave="{00000000-0000-0000-0000-000000000000}"/>
  <workbookProtection lockStructure="1"/>
  <bookViews>
    <workbookView xWindow="-120" yWindow="-120" windowWidth="29040" windowHeight="15840" tabRatio="930" activeTab="2" xr2:uid="{00000000-000D-0000-FFFF-FFFF00000000}"/>
  </bookViews>
  <sheets>
    <sheet name="Info" sheetId="14" r:id="rId1"/>
    <sheet name="Netzbetreiber" sheetId="5" r:id="rId2"/>
    <sheet name="SLP-Verfahren L-Gas" sheetId="15" r:id="rId3"/>
    <sheet name="SLP-Temp-Gebiet #01" sheetId="17" r:id="rId4"/>
    <sheet name="SLP-Profile" sheetId="7" r:id="rId5"/>
    <sheet name="SLP-Feiertage" sheetId="1" r:id="rId6"/>
    <sheet name="BDEW-Standard" sheetId="8" r:id="rId7"/>
    <sheet name="Wochentag F(WT)" sheetId="4" state="hidden" r:id="rId8"/>
  </sheets>
  <definedNames>
    <definedName name="_Fill" localSheetId="3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7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1" i="7" l="1"/>
  <c r="S31" i="7"/>
  <c r="T31" i="7"/>
  <c r="U31" i="7"/>
  <c r="V31" i="7"/>
  <c r="W31" i="7"/>
  <c r="R32" i="7"/>
  <c r="S32" i="7"/>
  <c r="T32" i="7"/>
  <c r="U32" i="7"/>
  <c r="X32" i="7" s="1"/>
  <c r="V32" i="7"/>
  <c r="W32" i="7"/>
  <c r="R33" i="7"/>
  <c r="S33" i="7"/>
  <c r="T33" i="7"/>
  <c r="U33" i="7"/>
  <c r="V33" i="7"/>
  <c r="W33" i="7"/>
  <c r="R34" i="7"/>
  <c r="S34" i="7"/>
  <c r="T34" i="7"/>
  <c r="U34" i="7"/>
  <c r="V34" i="7"/>
  <c r="W34" i="7"/>
  <c r="R35" i="7"/>
  <c r="S35" i="7"/>
  <c r="T35" i="7"/>
  <c r="U35" i="7"/>
  <c r="V35" i="7"/>
  <c r="W35" i="7"/>
  <c r="R24" i="7"/>
  <c r="S24" i="7"/>
  <c r="T24" i="7"/>
  <c r="U24" i="7"/>
  <c r="V24" i="7"/>
  <c r="W24" i="7"/>
  <c r="R25" i="7"/>
  <c r="S25" i="7"/>
  <c r="T25" i="7"/>
  <c r="U25" i="7"/>
  <c r="V25" i="7"/>
  <c r="W25" i="7"/>
  <c r="R26" i="7"/>
  <c r="S26" i="7"/>
  <c r="T26" i="7"/>
  <c r="U26" i="7"/>
  <c r="V26" i="7"/>
  <c r="W26" i="7"/>
  <c r="R29" i="7"/>
  <c r="S29" i="7"/>
  <c r="T29" i="7"/>
  <c r="U29" i="7"/>
  <c r="V29" i="7"/>
  <c r="W29" i="7"/>
  <c r="R30" i="7"/>
  <c r="S30" i="7"/>
  <c r="T30" i="7"/>
  <c r="U30" i="7"/>
  <c r="V30" i="7"/>
  <c r="W30" i="7"/>
  <c r="X29" i="7" l="1"/>
  <c r="X25" i="7"/>
  <c r="X24" i="7"/>
  <c r="X35" i="7"/>
  <c r="X34" i="7"/>
  <c r="X33" i="7"/>
  <c r="X31" i="7"/>
  <c r="X30" i="7"/>
  <c r="X26" i="7"/>
  <c r="E7" i="17"/>
  <c r="E6" i="17"/>
  <c r="E4" i="17"/>
  <c r="C33" i="15" l="1"/>
  <c r="C32" i="15"/>
  <c r="C29" i="15"/>
  <c r="C28" i="15"/>
  <c r="D24" i="15" l="1"/>
  <c r="C23" i="15"/>
  <c r="F69" i="17" l="1"/>
  <c r="G69" i="17"/>
  <c r="H69" i="17"/>
  <c r="I69" i="17"/>
  <c r="J69" i="17"/>
  <c r="K69" i="17"/>
  <c r="L69" i="17"/>
  <c r="M69" i="17"/>
  <c r="N69" i="17"/>
  <c r="E69" i="17"/>
  <c r="F11" i="17" l="1"/>
  <c r="I47" i="15"/>
  <c r="J47" i="15"/>
  <c r="K47" i="15"/>
  <c r="L47" i="15"/>
  <c r="M47" i="15"/>
  <c r="N47" i="15"/>
  <c r="O47" i="15"/>
  <c r="P47" i="15"/>
  <c r="Q47" i="15"/>
  <c r="R47" i="15"/>
  <c r="S47" i="15"/>
  <c r="T47" i="15"/>
  <c r="U47" i="15"/>
  <c r="V47" i="15"/>
  <c r="H47" i="15"/>
  <c r="F52" i="17"/>
  <c r="G56" i="17"/>
  <c r="H56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R15" i="7"/>
  <c r="S15" i="7"/>
  <c r="T15" i="7"/>
  <c r="U15" i="7"/>
  <c r="V15" i="7"/>
  <c r="W15" i="7"/>
  <c r="R16" i="7"/>
  <c r="S16" i="7"/>
  <c r="T16" i="7"/>
  <c r="U16" i="7"/>
  <c r="V16" i="7"/>
  <c r="W16" i="7"/>
  <c r="R17" i="7"/>
  <c r="S17" i="7"/>
  <c r="T17" i="7"/>
  <c r="U17" i="7"/>
  <c r="V17" i="7"/>
  <c r="W17" i="7"/>
  <c r="R18" i="7"/>
  <c r="S18" i="7"/>
  <c r="T18" i="7"/>
  <c r="U18" i="7"/>
  <c r="V18" i="7"/>
  <c r="W18" i="7"/>
  <c r="R19" i="7"/>
  <c r="S19" i="7"/>
  <c r="T19" i="7"/>
  <c r="U19" i="7"/>
  <c r="V19" i="7"/>
  <c r="W19" i="7"/>
  <c r="R20" i="7"/>
  <c r="S20" i="7"/>
  <c r="T20" i="7"/>
  <c r="U20" i="7"/>
  <c r="V20" i="7"/>
  <c r="W20" i="7"/>
  <c r="R21" i="7"/>
  <c r="S21" i="7"/>
  <c r="T21" i="7"/>
  <c r="U21" i="7"/>
  <c r="V21" i="7"/>
  <c r="W21" i="7"/>
  <c r="R22" i="7"/>
  <c r="S22" i="7"/>
  <c r="T22" i="7"/>
  <c r="U22" i="7"/>
  <c r="V22" i="7"/>
  <c r="W22" i="7"/>
  <c r="R23" i="7"/>
  <c r="S23" i="7"/>
  <c r="T23" i="7"/>
  <c r="U23" i="7"/>
  <c r="V23" i="7"/>
  <c r="W23" i="7"/>
  <c r="S12" i="7"/>
  <c r="T12" i="7"/>
  <c r="U12" i="7"/>
  <c r="V12" i="7"/>
  <c r="W12" i="7"/>
  <c r="R12" i="7"/>
  <c r="X12" i="7" l="1"/>
  <c r="X21" i="7"/>
  <c r="X13" i="7"/>
  <c r="X11" i="7"/>
  <c r="X23" i="7"/>
  <c r="X20" i="7"/>
  <c r="X19" i="7"/>
  <c r="X16" i="7"/>
  <c r="X15" i="7"/>
  <c r="X17" i="7"/>
  <c r="X22" i="7"/>
  <c r="X18" i="7"/>
  <c r="X14" i="7"/>
  <c r="G57" i="17"/>
  <c r="H57" i="17"/>
  <c r="I57" i="17"/>
  <c r="J57" i="17"/>
  <c r="K57" i="17"/>
  <c r="L57" i="17"/>
  <c r="M57" i="17"/>
  <c r="N57" i="17"/>
  <c r="H63" i="17"/>
  <c r="G53" i="17"/>
  <c r="F66" i="17"/>
  <c r="G66" i="17"/>
  <c r="H66" i="17"/>
  <c r="I66" i="17"/>
  <c r="J66" i="17"/>
  <c r="K66" i="17"/>
  <c r="L66" i="17"/>
  <c r="M66" i="17"/>
  <c r="N66" i="17"/>
  <c r="F67" i="17"/>
  <c r="G67" i="17"/>
  <c r="H67" i="17"/>
  <c r="I67" i="17"/>
  <c r="J67" i="17"/>
  <c r="K67" i="17"/>
  <c r="L67" i="17"/>
  <c r="M67" i="17"/>
  <c r="N67" i="17"/>
  <c r="G68" i="17"/>
  <c r="H68" i="17"/>
  <c r="I68" i="17"/>
  <c r="J68" i="17"/>
  <c r="K68" i="17"/>
  <c r="L68" i="17"/>
  <c r="M68" i="17"/>
  <c r="N68" i="17"/>
  <c r="G70" i="17"/>
  <c r="H70" i="17"/>
  <c r="I70" i="17"/>
  <c r="J70" i="17"/>
  <c r="K70" i="17"/>
  <c r="L70" i="17"/>
  <c r="M70" i="17"/>
  <c r="N70" i="17"/>
  <c r="E66" i="17"/>
  <c r="F56" i="17"/>
  <c r="I56" i="17"/>
  <c r="J56" i="17"/>
  <c r="K56" i="17"/>
  <c r="L56" i="17"/>
  <c r="M56" i="17"/>
  <c r="N56" i="17"/>
  <c r="F57" i="17"/>
  <c r="F58" i="17"/>
  <c r="G58" i="17"/>
  <c r="H58" i="17"/>
  <c r="I58" i="17"/>
  <c r="J58" i="17"/>
  <c r="K58" i="17"/>
  <c r="L58" i="17"/>
  <c r="M58" i="17"/>
  <c r="N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0" i="17"/>
  <c r="E58" i="17"/>
  <c r="E56" i="17"/>
  <c r="F63" i="17"/>
  <c r="F53" i="17"/>
  <c r="M53" i="17"/>
  <c r="F19" i="17"/>
  <c r="G19" i="17"/>
  <c r="H19" i="17"/>
  <c r="I19" i="17"/>
  <c r="J19" i="17"/>
  <c r="K19" i="17"/>
  <c r="L19" i="17"/>
  <c r="M19" i="17"/>
  <c r="N19" i="17"/>
  <c r="E19" i="17"/>
  <c r="F29" i="17"/>
  <c r="G29" i="17"/>
  <c r="H29" i="17"/>
  <c r="I29" i="17"/>
  <c r="J29" i="17"/>
  <c r="K29" i="17"/>
  <c r="L29" i="17"/>
  <c r="M29" i="17"/>
  <c r="N29" i="17"/>
  <c r="E29" i="17"/>
  <c r="T23" i="17"/>
  <c r="E67" i="17"/>
  <c r="E59" i="17"/>
  <c r="E68" i="17"/>
  <c r="E63" i="17" l="1"/>
  <c r="J63" i="17"/>
  <c r="G63" i="17"/>
  <c r="N63" i="17"/>
  <c r="K63" i="17"/>
  <c r="N53" i="17"/>
  <c r="J53" i="17"/>
  <c r="I53" i="17"/>
  <c r="M63" i="17"/>
  <c r="I63" i="17"/>
  <c r="L63" i="17"/>
  <c r="L53" i="17"/>
  <c r="H53" i="17"/>
  <c r="E53" i="17"/>
  <c r="K53" i="17"/>
  <c r="D22" i="17"/>
  <c r="D32" i="17"/>
  <c r="J31" i="17" l="1"/>
  <c r="N31" i="17"/>
  <c r="G31" i="17"/>
  <c r="K31" i="17"/>
  <c r="F31" i="17"/>
  <c r="H31" i="17"/>
  <c r="L31" i="17"/>
  <c r="I31" i="17"/>
  <c r="M31" i="17"/>
  <c r="G21" i="17"/>
  <c r="K21" i="17"/>
  <c r="F21" i="17"/>
  <c r="H21" i="17"/>
  <c r="L21" i="17"/>
  <c r="I21" i="17"/>
  <c r="M21" i="17"/>
  <c r="J21" i="17"/>
  <c r="N21" i="17"/>
  <c r="D56" i="17"/>
  <c r="D66" i="17"/>
  <c r="G65" i="17" l="1"/>
  <c r="K65" i="17"/>
  <c r="F65" i="17"/>
  <c r="H65" i="17"/>
  <c r="L65" i="17"/>
  <c r="I65" i="17"/>
  <c r="M65" i="17"/>
  <c r="J65" i="17"/>
  <c r="N65" i="17"/>
  <c r="I55" i="17"/>
  <c r="M55" i="17"/>
  <c r="J55" i="17"/>
  <c r="N55" i="17"/>
  <c r="G55" i="17"/>
  <c r="K55" i="17"/>
  <c r="F55" i="17"/>
  <c r="H55" i="17"/>
  <c r="L55" i="17"/>
  <c r="E31" i="17"/>
  <c r="E21" i="17"/>
  <c r="E65" i="17" l="1"/>
  <c r="E55" i="17"/>
  <c r="F9" i="17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28" i="5" l="1"/>
  <c r="C7" i="1"/>
  <c r="J8" i="7"/>
  <c r="D8" i="7"/>
  <c r="D8" i="15"/>
  <c r="C5" i="1" l="1"/>
  <c r="E5" i="17"/>
  <c r="C4" i="1"/>
  <c r="C6" i="1"/>
  <c r="D5" i="7"/>
  <c r="D7" i="7"/>
  <c r="D7" i="15"/>
  <c r="D5" i="15"/>
  <c r="E10" i="1"/>
  <c r="C20" i="15" l="1"/>
  <c r="C19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R27" i="7" l="1"/>
  <c r="R28" i="7"/>
  <c r="V27" i="7"/>
  <c r="V28" i="7"/>
  <c r="C11" i="8"/>
  <c r="C8" i="8"/>
  <c r="S27" i="7"/>
  <c r="S28" i="7"/>
  <c r="W27" i="7"/>
  <c r="W28" i="7"/>
  <c r="T27" i="7"/>
  <c r="T28" i="7"/>
  <c r="U27" i="7"/>
  <c r="X27" i="7" s="1"/>
  <c r="U28" i="7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N13" i="7" l="1"/>
  <c r="O14" i="7"/>
  <c r="P15" i="7"/>
  <c r="N17" i="7"/>
  <c r="O18" i="7"/>
  <c r="P19" i="7"/>
  <c r="N21" i="7"/>
  <c r="O22" i="7"/>
  <c r="P23" i="7"/>
  <c r="N25" i="7"/>
  <c r="O26" i="7"/>
  <c r="P27" i="7"/>
  <c r="N29" i="7"/>
  <c r="O30" i="7"/>
  <c r="P31" i="7"/>
  <c r="N33" i="7"/>
  <c r="O34" i="7"/>
  <c r="P35" i="7"/>
  <c r="M35" i="7"/>
  <c r="M16" i="7"/>
  <c r="M20" i="7"/>
  <c r="M24" i="7"/>
  <c r="M28" i="7"/>
  <c r="M32" i="7"/>
  <c r="I31" i="7"/>
  <c r="I32" i="7"/>
  <c r="H32" i="7"/>
  <c r="F34" i="7"/>
  <c r="F29" i="7"/>
  <c r="F25" i="7"/>
  <c r="F21" i="7"/>
  <c r="F17" i="7"/>
  <c r="F13" i="7"/>
  <c r="F24" i="7"/>
  <c r="F16" i="7"/>
  <c r="P16" i="7"/>
  <c r="P20" i="7"/>
  <c r="O23" i="7"/>
  <c r="O27" i="7"/>
  <c r="N30" i="7"/>
  <c r="N34" i="7"/>
  <c r="M15" i="7"/>
  <c r="M27" i="7"/>
  <c r="M12" i="7"/>
  <c r="F35" i="7"/>
  <c r="F22" i="7"/>
  <c r="O13" i="7"/>
  <c r="P14" i="7"/>
  <c r="N16" i="7"/>
  <c r="O17" i="7"/>
  <c r="P18" i="7"/>
  <c r="N20" i="7"/>
  <c r="O21" i="7"/>
  <c r="P22" i="7"/>
  <c r="N24" i="7"/>
  <c r="O25" i="7"/>
  <c r="P26" i="7"/>
  <c r="N28" i="7"/>
  <c r="O29" i="7"/>
  <c r="P30" i="7"/>
  <c r="N32" i="7"/>
  <c r="O33" i="7"/>
  <c r="P34" i="7"/>
  <c r="N12" i="7"/>
  <c r="M13" i="7"/>
  <c r="M17" i="7"/>
  <c r="M21" i="7"/>
  <c r="M25" i="7"/>
  <c r="M29" i="7"/>
  <c r="M33" i="7"/>
  <c r="J31" i="7"/>
  <c r="J32" i="7"/>
  <c r="H31" i="7"/>
  <c r="F33" i="7"/>
  <c r="F28" i="7"/>
  <c r="F20" i="7"/>
  <c r="F12" i="7"/>
  <c r="O19" i="7"/>
  <c r="N26" i="7"/>
  <c r="O31" i="7"/>
  <c r="O35" i="7"/>
  <c r="M23" i="7"/>
  <c r="L31" i="7"/>
  <c r="F30" i="7"/>
  <c r="F18" i="7"/>
  <c r="P13" i="7"/>
  <c r="N15" i="7"/>
  <c r="O16" i="7"/>
  <c r="P17" i="7"/>
  <c r="N19" i="7"/>
  <c r="O20" i="7"/>
  <c r="P21" i="7"/>
  <c r="N23" i="7"/>
  <c r="O24" i="7"/>
  <c r="P25" i="7"/>
  <c r="N27" i="7"/>
  <c r="O28" i="7"/>
  <c r="P29" i="7"/>
  <c r="N31" i="7"/>
  <c r="O32" i="7"/>
  <c r="P33" i="7"/>
  <c r="N35" i="7"/>
  <c r="O12" i="7"/>
  <c r="M14" i="7"/>
  <c r="M18" i="7"/>
  <c r="M22" i="7"/>
  <c r="M26" i="7"/>
  <c r="M30" i="7"/>
  <c r="M34" i="7"/>
  <c r="K31" i="7"/>
  <c r="K32" i="7"/>
  <c r="F32" i="7"/>
  <c r="F31" i="7"/>
  <c r="F27" i="7"/>
  <c r="F23" i="7"/>
  <c r="F19" i="7"/>
  <c r="F15" i="7"/>
  <c r="H35" i="7"/>
  <c r="N14" i="7"/>
  <c r="O15" i="7"/>
  <c r="N18" i="7"/>
  <c r="N22" i="7"/>
  <c r="P24" i="7"/>
  <c r="P28" i="7"/>
  <c r="P32" i="7"/>
  <c r="P12" i="7"/>
  <c r="M19" i="7"/>
  <c r="M31" i="7"/>
  <c r="L32" i="7"/>
  <c r="F26" i="7"/>
  <c r="F14" i="7"/>
  <c r="I33" i="7"/>
  <c r="I34" i="7"/>
  <c r="I35" i="7"/>
  <c r="I24" i="7"/>
  <c r="I25" i="7"/>
  <c r="I26" i="7"/>
  <c r="I27" i="7"/>
  <c r="I28" i="7"/>
  <c r="I29" i="7"/>
  <c r="I30" i="7"/>
  <c r="K33" i="7"/>
  <c r="K34" i="7"/>
  <c r="K35" i="7"/>
  <c r="K25" i="7"/>
  <c r="K26" i="7"/>
  <c r="K29" i="7"/>
  <c r="H34" i="7"/>
  <c r="L34" i="7"/>
  <c r="H24" i="7"/>
  <c r="L24" i="7"/>
  <c r="H25" i="7"/>
  <c r="L25" i="7"/>
  <c r="H27" i="7"/>
  <c r="L27" i="7"/>
  <c r="H29" i="7"/>
  <c r="L29" i="7"/>
  <c r="J33" i="7"/>
  <c r="J34" i="7"/>
  <c r="J35" i="7"/>
  <c r="J24" i="7"/>
  <c r="J25" i="7"/>
  <c r="J26" i="7"/>
  <c r="J27" i="7"/>
  <c r="J28" i="7"/>
  <c r="J29" i="7"/>
  <c r="J30" i="7"/>
  <c r="K24" i="7"/>
  <c r="K27" i="7"/>
  <c r="K28" i="7"/>
  <c r="K30" i="7"/>
  <c r="H33" i="7"/>
  <c r="L33" i="7"/>
  <c r="L35" i="7"/>
  <c r="H26" i="7"/>
  <c r="L26" i="7"/>
  <c r="H28" i="7"/>
  <c r="L28" i="7"/>
  <c r="H30" i="7"/>
  <c r="L30" i="7"/>
  <c r="X28" i="7"/>
  <c r="K13" i="7"/>
  <c r="J14" i="7"/>
  <c r="I15" i="7"/>
  <c r="H16" i="7"/>
  <c r="L16" i="7"/>
  <c r="K17" i="7"/>
  <c r="J18" i="7"/>
  <c r="I19" i="7"/>
  <c r="H20" i="7"/>
  <c r="L20" i="7"/>
  <c r="K21" i="7"/>
  <c r="J22" i="7"/>
  <c r="I23" i="7"/>
  <c r="I12" i="7"/>
  <c r="N11" i="7"/>
  <c r="L11" i="7"/>
  <c r="H11" i="7"/>
  <c r="I13" i="7"/>
  <c r="L14" i="7"/>
  <c r="K15" i="7"/>
  <c r="L18" i="7"/>
  <c r="K19" i="7"/>
  <c r="J20" i="7"/>
  <c r="I21" i="7"/>
  <c r="H22" i="7"/>
  <c r="P11" i="7"/>
  <c r="I14" i="7"/>
  <c r="H15" i="7"/>
  <c r="L19" i="7"/>
  <c r="K20" i="7"/>
  <c r="J21" i="7"/>
  <c r="I22" i="7"/>
  <c r="H23" i="7"/>
  <c r="M11" i="7"/>
  <c r="H13" i="7"/>
  <c r="L13" i="7"/>
  <c r="K14" i="7"/>
  <c r="J15" i="7"/>
  <c r="I16" i="7"/>
  <c r="H17" i="7"/>
  <c r="L17" i="7"/>
  <c r="K18" i="7"/>
  <c r="J19" i="7"/>
  <c r="I20" i="7"/>
  <c r="H21" i="7"/>
  <c r="L21" i="7"/>
  <c r="K22" i="7"/>
  <c r="J23" i="7"/>
  <c r="J12" i="7"/>
  <c r="O11" i="7"/>
  <c r="J11" i="7"/>
  <c r="H14" i="7"/>
  <c r="J16" i="7"/>
  <c r="I17" i="7"/>
  <c r="H18" i="7"/>
  <c r="L22" i="7"/>
  <c r="K23" i="7"/>
  <c r="K12" i="7"/>
  <c r="K11" i="7"/>
  <c r="J13" i="7"/>
  <c r="L15" i="7"/>
  <c r="K16" i="7"/>
  <c r="J17" i="7"/>
  <c r="I18" i="7"/>
  <c r="H19" i="7"/>
  <c r="L23" i="7"/>
  <c r="L12" i="7"/>
  <c r="H12" i="7"/>
  <c r="I11" i="7"/>
  <c r="F11" i="7"/>
  <c r="M8" i="4"/>
  <c r="M7" i="4"/>
  <c r="D6" i="15"/>
  <c r="D6" i="7"/>
  <c r="Q26" i="7" l="1"/>
  <c r="Q28" i="7"/>
  <c r="Q32" i="7"/>
  <c r="Q25" i="7"/>
  <c r="Q30" i="7"/>
  <c r="Q33" i="7"/>
  <c r="Q27" i="7"/>
  <c r="Q35" i="7"/>
  <c r="Q29" i="7"/>
  <c r="Q24" i="7"/>
  <c r="Q34" i="7"/>
  <c r="Q31" i="7"/>
  <c r="Q18" i="7"/>
  <c r="Q13" i="7"/>
  <c r="Q15" i="7"/>
  <c r="Q11" i="7"/>
  <c r="Q20" i="7"/>
  <c r="Q12" i="7"/>
  <c r="Q16" i="7"/>
  <c r="Q21" i="7"/>
  <c r="Q22" i="7"/>
  <c r="Q19" i="7"/>
  <c r="Q14" i="7"/>
  <c r="Q17" i="7"/>
  <c r="Q23" i="7"/>
  <c r="C41" i="7"/>
  <c r="C29" i="7"/>
  <c r="C20" i="7"/>
  <c r="C14" i="7"/>
  <c r="C12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sharedStrings.xml><?xml version="1.0" encoding="utf-8"?>
<sst xmlns="http://schemas.openxmlformats.org/spreadsheetml/2006/main" count="1176" uniqueCount="687">
  <si>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</si>
  <si>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</si>
  <si>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</si>
  <si>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</si>
  <si>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</si>
  <si>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</si>
  <si>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</si>
  <si>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</si>
  <si>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</si>
  <si>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</si>
  <si>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</si>
  <si>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</si>
  <si>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</si>
  <si>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</si>
  <si>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</si>
  <si>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</si>
  <si>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</si>
  <si>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</si>
  <si>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</si>
  <si>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</si>
  <si>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</si>
  <si>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</si>
  <si>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</si>
  <si>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</si>
  <si>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</si>
  <si>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</si>
  <si>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</si>
  <si>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</si>
  <si>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</si>
  <si>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</si>
  <si>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</si>
  <si>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</si>
  <si>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</si>
  <si>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</si>
  <si>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</si>
  <si>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</si>
  <si>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</si>
  <si>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</si>
  <si>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</si>
  <si>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</si>
  <si>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</si>
  <si>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</si>
  <si>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</si>
  <si>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</si>
  <si>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</si>
  <si>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</si>
  <si>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</si>
  <si>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</si>
  <si>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</si>
  <si>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</si>
  <si>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</si>
  <si>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</si>
  <si>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</si>
  <si>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</si>
  <si>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</si>
  <si>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</si>
  <si>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</si>
  <si>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</si>
  <si>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</si>
  <si>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</si>
  <si>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</si>
  <si>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</si>
  <si>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</si>
  <si>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</si>
  <si>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</si>
  <si>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</si>
  <si>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</si>
  <si>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</si>
  <si>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</si>
  <si>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</si>
  <si>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</si>
  <si>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</si>
  <si>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</si>
  <si>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</si>
  <si>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</si>
  <si>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</si>
  <si>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</si>
  <si>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</si>
  <si>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</si>
  <si>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</si>
  <si>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</si>
  <si>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</si>
  <si>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</si>
  <si>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</si>
  <si>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</si>
  <si>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</si>
  <si>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</si>
  <si>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</si>
  <si>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</si>
  <si>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</si>
  <si>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</si>
  <si>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</si>
  <si>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</si>
  <si>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</si>
  <si>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</si>
  <si>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</si>
  <si>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</si>
  <si>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</si>
  <si>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</si>
  <si>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</si>
  <si>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</si>
  <si>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</si>
  <si>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</si>
  <si>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</si>
  <si>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</si>
  <si>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</si>
  <si>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</si>
  <si>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</si>
  <si>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</si>
  <si>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</si>
  <si>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</si>
  <si>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</si>
  <si>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</si>
  <si>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</si>
  <si>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</si>
  <si>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</si>
  <si>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</si>
  <si>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</si>
  <si>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</si>
  <si>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</si>
  <si>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</si>
  <si>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</si>
  <si>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</si>
  <si>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</si>
  <si>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</si>
  <si>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</si>
  <si>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</si>
  <si>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</si>
  <si>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</si>
  <si>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</si>
  <si>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</si>
  <si>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</si>
  <si>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</si>
  <si>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</si>
  <si>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</si>
  <si>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</si>
  <si>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</si>
  <si>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</si>
  <si>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</si>
  <si>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</si>
  <si>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</si>
  <si>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</si>
  <si>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</si>
  <si>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</si>
  <si>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</si>
  <si>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</si>
  <si>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</si>
  <si>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</si>
  <si>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</si>
  <si>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</si>
  <si>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</si>
  <si>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</si>
  <si>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</si>
  <si>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</si>
  <si>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</si>
  <si>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</si>
  <si>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</si>
  <si>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</si>
  <si>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</si>
  <si>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</si>
  <si>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</si>
  <si>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</si>
  <si>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</si>
  <si>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</si>
  <si>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</si>
  <si>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</si>
  <si>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</si>
  <si>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</si>
  <si>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</si>
  <si>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</si>
  <si>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</si>
  <si>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</si>
  <si>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</si>
  <si>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</si>
  <si>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</si>
  <si>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</si>
  <si>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</si>
  <si>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</si>
  <si>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</si>
  <si>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</si>
  <si>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</si>
  <si>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</si>
  <si>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</si>
  <si>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</si>
  <si>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</si>
  <si>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</si>
  <si>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</si>
  <si>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</si>
  <si>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</si>
  <si>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</si>
  <si>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</si>
  <si>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</si>
  <si>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</si>
  <si>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</si>
  <si>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</si>
  <si>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</si>
  <si>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</si>
  <si>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</si>
  <si>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</si>
  <si>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</si>
  <si>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</si>
  <si>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</si>
  <si>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</si>
  <si>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</si>
  <si>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</si>
  <si>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</si>
  <si>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</si>
  <si>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</si>
  <si>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</si>
  <si>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</si>
  <si>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</si>
  <si>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</si>
  <si>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</si>
  <si>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</si>
  <si>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</si>
  <si>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</si>
  <si>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</si>
  <si>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</si>
  <si>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</si>
  <si>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</si>
  <si>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</si>
  <si>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</si>
  <si>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</si>
  <si>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</si>
  <si>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</si>
  <si>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</si>
  <si>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</si>
  <si>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</si>
  <si>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</si>
  <si>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</si>
  <si>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</si>
  <si>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</si>
  <si>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</si>
  <si>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</si>
  <si>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</si>
  <si>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</si>
  <si>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</si>
  <si>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</si>
  <si>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</si>
  <si>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</si>
  <si>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</si>
  <si>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</si>
  <si>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</si>
  <si>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</si>
  <si>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</si>
  <si>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</si>
  <si>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</si>
  <si>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</si>
  <si>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</si>
  <si>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</si>
  <si>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</si>
  <si>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</si>
  <si>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</si>
  <si>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</si>
  <si>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</si>
  <si>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NCG</t>
  </si>
  <si>
    <t>synthetisch</t>
  </si>
  <si>
    <t>Netzbetreiberinformationen</t>
  </si>
  <si>
    <t>Gaspool</t>
  </si>
  <si>
    <t>MGÜ (NCG/Gaspool)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</si>
  <si>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</si>
  <si>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</si>
  <si>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</si>
  <si>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</si>
  <si>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</si>
  <si>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</si>
  <si>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</si>
  <si>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Marktgebiet: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</si>
  <si>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</si>
  <si>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</si>
  <si>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</si>
  <si>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</si>
  <si>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</si>
  <si>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</si>
  <si>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</si>
  <si>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</si>
  <si>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</si>
  <si>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</si>
  <si>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</si>
  <si>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</si>
  <si>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</si>
  <si>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</si>
  <si>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</si>
  <si>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</si>
  <si>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</si>
  <si>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</si>
  <si>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</si>
  <si>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</si>
  <si>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</si>
  <si>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</si>
  <si>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</si>
  <si>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</si>
  <si>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</si>
  <si>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</si>
  <si>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</si>
  <si>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</si>
  <si>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</si>
  <si>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</si>
  <si>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</si>
  <si>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</si>
  <si>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</si>
  <si>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</si>
  <si>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</si>
  <si>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</si>
  <si>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</si>
  <si>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</si>
  <si>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</si>
  <si>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</si>
  <si>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</si>
  <si>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</si>
  <si>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</si>
  <si>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</si>
  <si>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</si>
  <si>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</si>
  <si>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</si>
  <si>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</si>
  <si>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</si>
  <si>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</si>
  <si>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</si>
  <si>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</si>
  <si>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</si>
  <si>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</si>
  <si>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</si>
  <si>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</si>
  <si>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</si>
  <si>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</si>
  <si>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</si>
  <si>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</si>
  <si>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</si>
  <si>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</si>
  <si>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</si>
  <si>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</si>
  <si>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</si>
  <si>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</si>
  <si>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</si>
  <si>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</si>
  <si>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</si>
  <si>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</si>
  <si>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</si>
  <si>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</si>
  <si>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</si>
  <si>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</si>
  <si>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</si>
  <si>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</si>
  <si>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</si>
  <si>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</si>
  <si>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</si>
  <si>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</si>
  <si>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</si>
  <si>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</si>
  <si>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</si>
  <si>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</si>
  <si>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</si>
  <si>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</si>
  <si>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</si>
  <si>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</si>
  <si>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</si>
  <si>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</si>
  <si>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</si>
  <si>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</si>
  <si>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</si>
  <si>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</si>
  <si>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</si>
  <si>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</si>
  <si>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</si>
  <si>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</si>
  <si>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</si>
  <si>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</si>
  <si>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</si>
  <si>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</si>
  <si>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</si>
  <si>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</si>
  <si>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</si>
  <si>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</si>
  <si>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</si>
  <si>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</si>
  <si>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</si>
  <si>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</si>
  <si>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</si>
  <si>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</si>
  <si>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</si>
  <si>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</si>
  <si>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</si>
  <si>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</si>
  <si>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</si>
  <si>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</si>
  <si>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</si>
  <si>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</si>
  <si>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</si>
  <si>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</si>
  <si>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</si>
  <si>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</si>
  <si>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</si>
  <si>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</si>
  <si>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</si>
  <si>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</si>
  <si>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</si>
  <si>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</si>
  <si>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</si>
  <si>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</si>
  <si>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</si>
  <si>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</si>
  <si>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</si>
  <si>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</si>
  <si>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</si>
  <si>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</si>
  <si>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</si>
  <si>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</si>
  <si>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</si>
  <si>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</si>
  <si>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</si>
  <si>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</si>
  <si>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</si>
  <si>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</si>
  <si>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</si>
  <si>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</si>
  <si>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</si>
  <si>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</si>
  <si>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</si>
  <si>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</si>
  <si>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</si>
  <si>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</si>
  <si>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</si>
  <si>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</si>
  <si>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</si>
  <si>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</si>
  <si>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</si>
  <si>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</si>
  <si>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</si>
  <si>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</si>
  <si>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Netzkontonummer Gaspool: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</si>
  <si>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</si>
  <si>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</si>
  <si>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</si>
  <si>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</si>
  <si>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</si>
  <si>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</si>
  <si>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</si>
  <si>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</si>
  <si>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</si>
  <si>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</si>
  <si>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</si>
  <si>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</si>
  <si>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</si>
  <si>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</si>
  <si>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</si>
  <si>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</si>
  <si>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</si>
  <si>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</si>
  <si>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</si>
  <si>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</si>
  <si>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</si>
  <si>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</si>
  <si>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</si>
  <si>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</si>
  <si>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</si>
  <si>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</si>
  <si>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</si>
  <si>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</si>
  <si>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</si>
  <si>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</si>
  <si>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</si>
  <si>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</si>
  <si>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</si>
  <si>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</si>
  <si>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</si>
  <si>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</si>
  <si>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</si>
  <si>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</si>
  <si>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</si>
  <si>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</si>
  <si>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</si>
  <si>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</si>
  <si>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</si>
  <si>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</si>
  <si>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</si>
  <si>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</si>
  <si>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</si>
  <si>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</si>
  <si>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</si>
  <si>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</si>
  <si>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</si>
  <si>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</si>
  <si>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</si>
  <si>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</si>
  <si>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</si>
  <si>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</si>
  <si>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</si>
  <si>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</si>
  <si>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</si>
  <si>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</si>
  <si>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</si>
  <si>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</si>
  <si>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</si>
  <si>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</si>
  <si>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</si>
  <si>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</si>
  <si>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</si>
  <si>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</si>
  <si>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</si>
  <si>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</si>
  <si>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</si>
  <si>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</si>
  <si>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</si>
  <si>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</si>
  <si>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</si>
  <si>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</si>
  <si>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</si>
  <si>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</si>
  <si>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</si>
  <si>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</si>
  <si>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</si>
  <si>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</si>
  <si>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</si>
  <si>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</si>
  <si>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</si>
  <si>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</si>
  <si>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</si>
  <si>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</si>
  <si>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</si>
  <si>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</si>
  <si>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</si>
  <si>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</si>
  <si>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</si>
  <si>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</si>
  <si>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</si>
  <si>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</si>
  <si>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</si>
  <si>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</si>
  <si>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</si>
  <si>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</si>
  <si>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</si>
  <si>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</si>
  <si>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</si>
  <si>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</si>
  <si>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</si>
  <si>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</si>
  <si>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</si>
  <si>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</si>
  <si>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</si>
  <si>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</si>
  <si>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</si>
  <si>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</si>
  <si>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</si>
  <si>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</si>
  <si>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</si>
  <si>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</si>
  <si>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</si>
  <si>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</si>
  <si>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</si>
  <si>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</si>
  <si>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</si>
  <si>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</si>
  <si>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</si>
  <si>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</si>
  <si>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</si>
  <si>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</si>
  <si>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</si>
  <si>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</si>
  <si>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</si>
  <si>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</si>
  <si>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</si>
  <si>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</si>
  <si>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</si>
  <si>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</si>
  <si>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</si>
  <si>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</si>
  <si>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</si>
  <si>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</si>
  <si>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</si>
  <si>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</si>
  <si>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</si>
  <si>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</si>
  <si>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</si>
  <si>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</si>
  <si>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</si>
  <si>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</si>
  <si>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</si>
  <si>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</si>
  <si>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</si>
  <si>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</si>
  <si>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</si>
  <si>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</si>
  <si>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</si>
  <si>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</si>
  <si>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</si>
  <si>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</si>
  <si>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</si>
  <si>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</si>
  <si>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</si>
  <si>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</si>
  <si>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</si>
  <si>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</si>
  <si>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</si>
  <si>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</si>
  <si>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</si>
  <si>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</si>
  <si>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</si>
  <si>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</si>
  <si>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</si>
  <si>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</si>
  <si>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</si>
  <si>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</si>
  <si>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</si>
  <si>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</si>
  <si>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</si>
  <si>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</si>
  <si>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</si>
  <si>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</si>
  <si>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</si>
  <si>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</si>
  <si>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</si>
  <si>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</si>
  <si>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</si>
  <si>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</si>
  <si>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</si>
  <si>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</si>
  <si>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</si>
  <si>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</si>
  <si>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</si>
  <si>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</si>
  <si>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</si>
  <si>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</si>
  <si>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</si>
  <si>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</si>
  <si>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</si>
  <si>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</si>
  <si>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</si>
  <si>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</si>
  <si>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</si>
  <si>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</si>
  <si>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</si>
  <si>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</si>
  <si>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</si>
  <si>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</si>
  <si>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</si>
  <si>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</si>
  <si>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</si>
  <si>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</si>
  <si>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</si>
  <si>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</si>
  <si>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</si>
  <si>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</si>
  <si>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</si>
  <si>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</si>
  <si>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</si>
  <si>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</si>
  <si>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1.0</t>
  </si>
  <si>
    <t>anderer Wetter-Dienstleister (falls verwendet):</t>
  </si>
  <si>
    <t>HK3/HKO03</t>
  </si>
  <si>
    <t xml:space="preserve">verf.-spezif. Parameter dieser Datei sind gültig ab: </t>
  </si>
  <si>
    <t>Stand der verf.-spezif.  Parameter ("Speicherdatum" der Datei):</t>
  </si>
  <si>
    <t>Meteomedia</t>
  </si>
  <si>
    <t>DE_GBA04</t>
  </si>
  <si>
    <t>DE_GBH04</t>
  </si>
  <si>
    <t>DE_GGA04</t>
  </si>
  <si>
    <t>DE_GKO04</t>
  </si>
  <si>
    <t>DE_GHA04</t>
  </si>
  <si>
    <t>DE_GMF04</t>
  </si>
  <si>
    <t>DE_GMK04</t>
  </si>
  <si>
    <t>DE_GPD04</t>
  </si>
  <si>
    <t>DE_GBD04</t>
  </si>
  <si>
    <t>Düren</t>
  </si>
  <si>
    <t>9870116800003</t>
  </si>
  <si>
    <t>Arnoldsweilerstraße 60</t>
  </si>
  <si>
    <t>Netznutzungsmanagement</t>
  </si>
  <si>
    <t>datenaustausch@leitungspartner.de</t>
  </si>
  <si>
    <t>Netzgebiet Leitungspartner</t>
  </si>
  <si>
    <t>DE_GBD05</t>
  </si>
  <si>
    <t>DE_GBH05</t>
  </si>
  <si>
    <t>DE_GGA05</t>
  </si>
  <si>
    <t>DE_GGB04</t>
  </si>
  <si>
    <t>DE_GGB05</t>
  </si>
  <si>
    <t>DE_GHA05</t>
  </si>
  <si>
    <t>DE_GHD04</t>
  </si>
  <si>
    <t>DE_HKO03</t>
  </si>
  <si>
    <t>DE_GKO05</t>
  </si>
  <si>
    <t>DE_GMF05</t>
  </si>
  <si>
    <t>DE_GMK05</t>
  </si>
  <si>
    <t>DE_GPD05</t>
  </si>
  <si>
    <t>DE_GWA04</t>
  </si>
  <si>
    <t>02421 / 4865-779</t>
  </si>
  <si>
    <t>Leitungspartner GmbH</t>
  </si>
  <si>
    <t>Allokationstemperatur der Leitungspartner GmbH</t>
  </si>
  <si>
    <t>THE</t>
  </si>
  <si>
    <t>Netzkontonummer THE:</t>
  </si>
  <si>
    <t>THE0NKL701168000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</si>
</sst>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/>
    <xf numFmtId="172" fontId="13" fillId="0" borderId="0" applyFont="0" applyFill="0" applyBorder="0">
      <alignment horizontal="left"/>
    </xf>
    <xf numFmtId="0" fontId="14" fillId="38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4" fillId="39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4" fillId="40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4" fillId="41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4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4" fillId="43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44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4" fillId="4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4" fillId="46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4" fillId="41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4" fillId="44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4" fillId="4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6" fillId="48" borderId="0" applyNumberFormat="0" applyBorder="0" applyAlignment="0" applyProtection="0"/>
    <xf numFmtId="0" fontId="16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9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3" borderId="0" applyNumberFormat="0" applyBorder="0" applyAlignment="0" applyProtection="0"/>
    <xf numFmtId="0" fontId="16" fillId="54" borderId="0" applyNumberFormat="0" applyBorder="0" applyAlignment="0" applyProtection="0"/>
    <xf numFmtId="0" fontId="16" fillId="49" borderId="0" applyNumberFormat="0" applyBorder="0" applyAlignment="0" applyProtection="0"/>
    <xf numFmtId="0" fontId="16" fillId="50" borderId="0" applyNumberFormat="0" applyBorder="0" applyAlignment="0" applyProtection="0"/>
    <xf numFmtId="0" fontId="16" fillId="55" borderId="0" applyNumberFormat="0" applyBorder="0" applyAlignment="0" applyProtection="0"/>
    <xf numFmtId="0" fontId="17" fillId="56" borderId="28" applyNumberFormat="0" applyAlignment="0" applyProtection="0"/>
    <xf numFmtId="0" fontId="18" fillId="56" borderId="29" applyNumberFormat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" fontId="19" fillId="0" borderId="0">
      <protection locked="0"/>
    </xf>
    <xf numFmtId="14" fontId="7" fillId="0" borderId="0"/>
    <xf numFmtId="0" fontId="20" fillId="43" borderId="29" applyNumberFormat="0" applyAlignment="0" applyProtection="0"/>
    <xf numFmtId="0" fontId="21" fillId="0" borderId="30" applyNumberFormat="0" applyFill="0" applyAlignment="0" applyProtection="0"/>
    <xf numFmtId="0" fontId="22" fillId="0" borderId="0" applyNumberFormat="0" applyFill="0" applyBorder="0" applyAlignment="0" applyProtection="0"/>
    <xf numFmtId="173" fontId="7" fillId="0" borderId="0" applyFont="0" applyFill="0" applyBorder="0" applyAlignment="0" applyProtection="0"/>
    <xf numFmtId="174" fontId="19" fillId="0" borderId="0">
      <protection locked="0"/>
    </xf>
    <xf numFmtId="0" fontId="23" fillId="40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7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" fontId="29" fillId="0" borderId="0">
      <protection locked="0"/>
    </xf>
    <xf numFmtId="1" fontId="29" fillId="0" borderId="0">
      <protection locked="0"/>
    </xf>
    <xf numFmtId="0" fontId="30" fillId="57" borderId="0" applyNumberFormat="0" applyBorder="0" applyAlignment="0" applyProtection="0"/>
    <xf numFmtId="0" fontId="14" fillId="58" borderId="31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9" fontId="31" fillId="0" borderId="0" applyFont="0" applyFill="0" applyBorder="0" applyAlignment="0" applyProtection="0"/>
    <xf numFmtId="9" fontId="7" fillId="0" borderId="0" applyFont="0" applyFill="0" applyBorder="0" applyAlignment="0" applyProtection="0"/>
    <xf numFmtId="167" fontId="32" fillId="1" borderId="0" applyFont="0" applyFill="0" applyBorder="0" applyAlignment="0"/>
    <xf numFmtId="10" fontId="32" fillId="0" borderId="0" applyFont="0" applyFill="0" applyBorder="0" applyAlignment="0"/>
    <xf numFmtId="3" fontId="33" fillId="59" borderId="0" applyNumberFormat="0" applyFont="0" applyBorder="0"/>
    <xf numFmtId="0" fontId="34" fillId="39" borderId="0" applyNumberFormat="0" applyBorder="0" applyAlignment="0" applyProtection="0"/>
    <xf numFmtId="0" fontId="31" fillId="0" borderId="0"/>
    <xf numFmtId="0" fontId="1" fillId="0" borderId="0"/>
    <xf numFmtId="0" fontId="31" fillId="0" borderId="0"/>
    <xf numFmtId="0" fontId="31" fillId="0" borderId="0"/>
    <xf numFmtId="0" fontId="7" fillId="0" borderId="0"/>
    <xf numFmtId="0" fontId="28" fillId="0" borderId="0"/>
    <xf numFmtId="0" fontId="15" fillId="0" borderId="0"/>
    <xf numFmtId="0" fontId="7" fillId="0" borderId="0"/>
    <xf numFmtId="0" fontId="28" fillId="0" borderId="0"/>
    <xf numFmtId="1" fontId="19" fillId="0" borderId="32">
      <protection locked="0"/>
    </xf>
    <xf numFmtId="0" fontId="35" fillId="0" borderId="0" applyNumberFormat="0" applyAlignment="0" applyProtection="0"/>
    <xf numFmtId="0" fontId="3" fillId="0" borderId="1" applyNumberFormat="0" applyFill="0" applyAlignment="0" applyProtection="0"/>
    <xf numFmtId="0" fontId="36" fillId="0" borderId="33" applyNumberFormat="0" applyFill="0" applyAlignment="0" applyProtection="0"/>
    <xf numFmtId="0" fontId="4" fillId="0" borderId="2" applyNumberFormat="0" applyFill="0" applyAlignment="0" applyProtection="0"/>
    <xf numFmtId="0" fontId="37" fillId="0" borderId="34" applyNumberFormat="0" applyFill="0" applyAlignment="0" applyProtection="0"/>
    <xf numFmtId="0" fontId="38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/>
    <xf numFmtId="176" fontId="41" fillId="0" borderId="0">
      <alignment horizontal="right"/>
    </xf>
    <xf numFmtId="0" fontId="42" fillId="0" borderId="36" applyNumberFormat="0" applyFill="0" applyAlignment="0" applyProtection="0"/>
    <xf numFmtId="177" fontId="19" fillId="0" borderId="0">
      <protection locked="0"/>
    </xf>
    <xf numFmtId="0" fontId="43" fillId="0" borderId="0" applyNumberFormat="0" applyFill="0" applyBorder="0" applyAlignment="0" applyProtection="0"/>
    <xf numFmtId="0" fontId="44" fillId="60" borderId="37" applyNumberFormat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8" fillId="0" borderId="0"/>
    <xf numFmtId="0" fontId="48" fillId="0" borderId="0"/>
    <xf numFmtId="0" fontId="15" fillId="0" borderId="0"/>
    <xf numFmtId="0" fontId="49" fillId="0" borderId="2" applyNumberFormat="0" applyFill="0" applyAlignment="0" applyProtection="0"/>
    <xf numFmtId="0" fontId="31" fillId="0" borderId="0"/>
    <xf numFmtId="0" fontId="1" fillId="0" borderId="0"/>
    <xf numFmtId="0" fontId="7" fillId="0" borderId="0"/>
    <xf numFmtId="0" fontId="31" fillId="0" borderId="0"/>
    <xf numFmtId="0" fontId="31" fillId="0" borderId="0"/>
    <xf numFmtId="0" fontId="4" fillId="0" borderId="2" applyNumberFormat="0" applyFill="0" applyAlignment="0" applyProtection="0"/>
    <xf numFmtId="0" fontId="52" fillId="0" borderId="1" applyNumberFormat="0" applyFill="0" applyAlignment="0" applyProtection="0"/>
    <xf numFmtId="0" fontId="53" fillId="0" borderId="3" applyNumberFormat="0" applyFill="0" applyAlignment="0" applyProtection="0"/>
    <xf numFmtId="0" fontId="53" fillId="0" borderId="0" applyNumberFormat="0" applyFill="0" applyBorder="0" applyAlignment="0" applyProtection="0"/>
    <xf numFmtId="0" fontId="54" fillId="2" borderId="0" applyNumberFormat="0" applyBorder="0" applyAlignment="0" applyProtection="0"/>
    <xf numFmtId="0" fontId="55" fillId="3" borderId="0" applyNumberFormat="0" applyBorder="0" applyAlignment="0" applyProtection="0"/>
    <xf numFmtId="0" fontId="56" fillId="4" borderId="0" applyNumberFormat="0" applyBorder="0" applyAlignment="0" applyProtection="0"/>
    <xf numFmtId="0" fontId="57" fillId="5" borderId="4" applyNumberFormat="0" applyAlignment="0" applyProtection="0"/>
    <xf numFmtId="0" fontId="58" fillId="6" borderId="5" applyNumberFormat="0" applyAlignment="0" applyProtection="0"/>
    <xf numFmtId="0" fontId="59" fillId="6" borderId="4" applyNumberFormat="0" applyAlignment="0" applyProtection="0"/>
    <xf numFmtId="0" fontId="60" fillId="0" borderId="6" applyNumberFormat="0" applyFill="0" applyAlignment="0" applyProtection="0"/>
    <xf numFmtId="0" fontId="50" fillId="7" borderId="7" applyNumberFormat="0" applyAlignment="0" applyProtection="0"/>
    <xf numFmtId="0" fontId="1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9" applyNumberFormat="0" applyFill="0" applyAlignment="0" applyProtection="0"/>
    <xf numFmtId="0" fontId="51" fillId="9" borderId="0" applyNumberFormat="0" applyBorder="0" applyAlignment="0" applyProtection="0"/>
    <xf numFmtId="0" fontId="51" fillId="12" borderId="0" applyNumberFormat="0" applyBorder="0" applyAlignment="0" applyProtection="0"/>
    <xf numFmtId="0" fontId="51" fillId="13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4" borderId="0" applyNumberFormat="0" applyBorder="0" applyAlignment="0" applyProtection="0"/>
    <xf numFmtId="0" fontId="51" fillId="25" borderId="0" applyNumberFormat="0" applyBorder="0" applyAlignment="0" applyProtection="0"/>
    <xf numFmtId="0" fontId="51" fillId="28" borderId="0" applyNumberFormat="0" applyBorder="0" applyAlignment="0" applyProtection="0"/>
    <xf numFmtId="0" fontId="51" fillId="29" borderId="0" applyNumberFormat="0" applyBorder="0" applyAlignment="0" applyProtection="0"/>
    <xf numFmtId="0" fontId="51" fillId="32" borderId="0" applyNumberFormat="0" applyBorder="0" applyAlignment="0" applyProtection="0"/>
    <xf numFmtId="0" fontId="15" fillId="0" borderId="0"/>
    <xf numFmtId="0" fontId="31" fillId="0" borderId="0"/>
    <xf numFmtId="164" fontId="31" fillId="0" borderId="0" applyFont="0" applyFill="0" applyBorder="0" applyAlignment="0" applyProtection="0"/>
    <xf numFmtId="0" fontId="76" fillId="0" borderId="0" applyNumberFormat="0" applyFill="0" applyBorder="0" applyAlignment="0" applyProtection="0">
      <alignment vertical="top"/>
      <protection locked="0"/>
    </xf>
  </cellStyleXfs>
  <cellXfs count="3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5" fillId="0" borderId="0" xfId="0" applyFont="1"/>
    <xf numFmtId="0" fontId="31" fillId="0" borderId="0" xfId="0" applyFont="1" applyAlignment="1">
      <alignment vertical="center"/>
    </xf>
    <xf numFmtId="0" fontId="0" fillId="0" borderId="0" xfId="0" applyBorder="1"/>
    <xf numFmtId="0" fontId="6" fillId="0" borderId="0" xfId="0" applyFont="1" applyBorder="1"/>
    <xf numFmtId="0" fontId="11" fillId="0" borderId="0" xfId="0" applyFont="1"/>
    <xf numFmtId="0" fontId="70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3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0" fillId="0" borderId="0" xfId="0" applyFont="1" applyAlignment="1">
      <alignment vertical="center"/>
    </xf>
    <xf numFmtId="0" fontId="6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4" fillId="33" borderId="17" xfId="86" applyNumberFormat="1" applyFont="1" applyFill="1" applyBorder="1" applyAlignment="1" applyProtection="1">
      <alignment horizontal="center" vertical="center"/>
      <protection locked="0"/>
    </xf>
    <xf numFmtId="0" fontId="74" fillId="63" borderId="0" xfId="86" applyFont="1" applyFill="1" applyProtection="1"/>
    <xf numFmtId="0" fontId="74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4" fillId="33" borderId="17" xfId="86" applyFont="1" applyFill="1" applyBorder="1" applyAlignment="1" applyProtection="1">
      <alignment horizontal="center"/>
      <protection locked="0"/>
    </xf>
    <xf numFmtId="185" fontId="74" fillId="33" borderId="17" xfId="86" applyNumberFormat="1" applyFont="1" applyFill="1" applyBorder="1" applyAlignment="1" applyProtection="1">
      <alignment horizontal="center"/>
      <protection locked="0"/>
    </xf>
    <xf numFmtId="0" fontId="74" fillId="0" borderId="0" xfId="86" applyFont="1" applyFill="1" applyAlignment="1">
      <alignment vertical="center"/>
    </xf>
    <xf numFmtId="186" fontId="74" fillId="33" borderId="17" xfId="86" applyNumberFormat="1" applyFont="1" applyFill="1" applyBorder="1" applyAlignment="1" applyProtection="1">
      <alignment horizontal="center"/>
      <protection locked="0"/>
    </xf>
    <xf numFmtId="14" fontId="74" fillId="0" borderId="0" xfId="86" applyNumberFormat="1" applyFont="1" applyFill="1" applyBorder="1" applyAlignment="1" applyProtection="1">
      <alignment horizontal="left"/>
    </xf>
    <xf numFmtId="0" fontId="72" fillId="0" borderId="0" xfId="0" applyFont="1"/>
    <xf numFmtId="0" fontId="72" fillId="0" borderId="0" xfId="0" applyFont="1" applyAlignment="1">
      <alignment horizontal="center"/>
    </xf>
    <xf numFmtId="0" fontId="72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182" fontId="0" fillId="33" borderId="17" xfId="0" applyNumberFormat="1" applyFont="1" applyFill="1" applyBorder="1" applyAlignment="1" applyProtection="1">
      <alignment horizontal="center"/>
      <protection locked="0"/>
    </xf>
    <xf numFmtId="0" fontId="77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2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1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4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1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1" fillId="0" borderId="0" xfId="3" applyFont="1" applyFill="1" applyProtection="1">
      <protection hidden="1"/>
    </xf>
    <xf numFmtId="14" fontId="74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1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2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1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1" fillId="33" borderId="43" xfId="0" applyFont="1" applyFill="1" applyBorder="1" applyAlignment="1" applyProtection="1">
      <alignment horizontal="center" vertical="center" wrapText="1"/>
      <protection locked="0"/>
    </xf>
    <xf numFmtId="0" fontId="11" fillId="33" borderId="50" xfId="0" applyFont="1" applyFill="1" applyBorder="1" applyAlignment="1" applyProtection="1">
      <alignment horizontal="center" vertical="center" wrapText="1"/>
      <protection locked="0"/>
    </xf>
    <xf numFmtId="0" fontId="11" fillId="33" borderId="54" xfId="0" applyFont="1" applyFill="1" applyBorder="1" applyAlignment="1" applyProtection="1">
      <alignment horizontal="center" vertical="center" wrapText="1"/>
      <protection locked="0"/>
    </xf>
    <xf numFmtId="0" fontId="11" fillId="33" borderId="52" xfId="0" applyFont="1" applyFill="1" applyBorder="1" applyAlignment="1" applyProtection="1">
      <alignment horizontal="center" vertical="center" wrapText="1"/>
      <protection locked="0"/>
    </xf>
    <xf numFmtId="0" fontId="7" fillId="0" borderId="0" xfId="3" applyProtection="1"/>
    <xf numFmtId="0" fontId="11" fillId="0" borderId="0" xfId="3" applyFont="1" applyProtection="1"/>
    <xf numFmtId="0" fontId="11" fillId="0" borderId="0" xfId="3" applyFont="1" applyAlignment="1" applyProtection="1">
      <alignment horizontal="right"/>
    </xf>
    <xf numFmtId="0" fontId="11" fillId="71" borderId="48" xfId="0" applyFont="1" applyFill="1" applyBorder="1" applyAlignment="1" applyProtection="1">
      <alignment horizontal="center" vertical="center"/>
      <protection locked="0"/>
    </xf>
    <xf numFmtId="0" fontId="11" fillId="71" borderId="11" xfId="0" applyFont="1" applyFill="1" applyBorder="1" applyAlignment="1" applyProtection="1">
      <alignment horizontal="center" vertical="center"/>
      <protection locked="0"/>
    </xf>
    <xf numFmtId="0" fontId="11" fillId="71" borderId="17" xfId="0" applyFont="1" applyFill="1" applyBorder="1" applyAlignment="1" applyProtection="1">
      <alignment horizontal="center" vertical="center"/>
      <protection locked="0"/>
    </xf>
    <xf numFmtId="0" fontId="11" fillId="71" borderId="14" xfId="0" applyFont="1" applyFill="1" applyBorder="1" applyAlignment="1" applyProtection="1">
      <alignment horizontal="center" vertical="center"/>
      <protection locked="0"/>
    </xf>
    <xf numFmtId="0" fontId="11" fillId="71" borderId="49" xfId="0" applyFont="1" applyFill="1" applyBorder="1" applyAlignment="1" applyProtection="1">
      <alignment horizontal="center" vertical="center"/>
      <protection locked="0"/>
    </xf>
    <xf numFmtId="0" fontId="11" fillId="71" borderId="16" xfId="0" applyFont="1" applyFill="1" applyBorder="1" applyAlignment="1" applyProtection="1">
      <alignment horizontal="center" vertical="center"/>
      <protection locked="0"/>
    </xf>
    <xf numFmtId="0" fontId="69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1" fillId="0" borderId="0" xfId="3" applyFont="1" applyAlignment="1" applyProtection="1">
      <alignment horizontal="left"/>
    </xf>
    <xf numFmtId="0" fontId="11" fillId="0" borderId="0" xfId="3" applyFont="1" applyFill="1" applyBorder="1" applyAlignment="1" applyProtection="1">
      <alignment horizontal="left"/>
    </xf>
    <xf numFmtId="0" fontId="75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4" fillId="0" borderId="65" xfId="0" applyFont="1" applyBorder="1" applyAlignment="1" applyProtection="1">
      <alignment horizontal="center" textRotation="90" wrapText="1"/>
    </xf>
    <xf numFmtId="0" fontId="6" fillId="0" borderId="50" xfId="0" applyFont="1" applyBorder="1" applyProtection="1"/>
    <xf numFmtId="0" fontId="11" fillId="0" borderId="51" xfId="3" applyFont="1" applyBorder="1" applyProtection="1"/>
    <xf numFmtId="0" fontId="11" fillId="0" borderId="43" xfId="3" applyFont="1" applyBorder="1" applyAlignment="1" applyProtection="1">
      <alignment horizontal="center"/>
    </xf>
    <xf numFmtId="0" fontId="11" fillId="0" borderId="43" xfId="3" applyFont="1" applyFill="1" applyBorder="1" applyAlignment="1" applyProtection="1">
      <alignment horizontal="center" vertical="center"/>
    </xf>
    <xf numFmtId="0" fontId="6" fillId="0" borderId="67" xfId="0" applyFont="1" applyBorder="1" applyAlignment="1" applyProtection="1">
      <alignment horizontal="center" vertical="center"/>
    </xf>
    <xf numFmtId="0" fontId="6" fillId="0" borderId="64" xfId="0" applyFont="1" applyBorder="1" applyAlignment="1" applyProtection="1">
      <alignment horizontal="center" vertical="center"/>
    </xf>
    <xf numFmtId="0" fontId="6" fillId="0" borderId="66" xfId="0" applyFont="1" applyBorder="1" applyAlignment="1" applyProtection="1">
      <alignment horizontal="center" vertical="center"/>
    </xf>
    <xf numFmtId="0" fontId="6" fillId="0" borderId="62" xfId="0" applyFont="1" applyBorder="1" applyProtection="1"/>
    <xf numFmtId="0" fontId="11" fillId="0" borderId="56" xfId="3" applyFont="1" applyBorder="1" applyProtection="1"/>
    <xf numFmtId="0" fontId="11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1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6" fillId="0" borderId="60" xfId="0" applyFont="1" applyBorder="1" applyProtection="1"/>
    <xf numFmtId="0" fontId="0" fillId="0" borderId="61" xfId="0" applyFont="1" applyBorder="1" applyProtection="1"/>
    <xf numFmtId="0" fontId="11" fillId="0" borderId="58" xfId="3" applyFont="1" applyBorder="1" applyProtection="1"/>
    <xf numFmtId="0" fontId="11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7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6" fillId="0" borderId="0" xfId="0" applyFont="1" applyProtection="1"/>
    <xf numFmtId="0" fontId="6" fillId="0" borderId="0" xfId="0" applyFont="1" applyAlignment="1" applyProtection="1">
      <alignment horizontal="center"/>
    </xf>
    <xf numFmtId="0" fontId="72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1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6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79" fillId="36" borderId="21" xfId="0" applyFont="1" applyFill="1" applyBorder="1" applyAlignment="1" applyProtection="1">
      <alignment horizontal="center" vertical="center" wrapText="1"/>
    </xf>
    <xf numFmtId="165" fontId="80" fillId="34" borderId="24" xfId="3" applyNumberFormat="1" applyFont="1" applyFill="1" applyBorder="1" applyAlignment="1" applyProtection="1">
      <alignment horizontal="center" vertical="center"/>
    </xf>
    <xf numFmtId="165" fontId="80" fillId="34" borderId="70" xfId="3" applyNumberFormat="1" applyFont="1" applyFill="1" applyBorder="1" applyAlignment="1" applyProtection="1">
      <alignment horizontal="center" vertical="center"/>
    </xf>
    <xf numFmtId="0" fontId="81" fillId="34" borderId="23" xfId="3" applyNumberFormat="1" applyFont="1" applyFill="1" applyBorder="1" applyAlignment="1" applyProtection="1">
      <alignment horizontal="center" vertical="center"/>
    </xf>
    <xf numFmtId="10" fontId="79" fillId="35" borderId="24" xfId="0" applyNumberFormat="1" applyFont="1" applyFill="1" applyBorder="1" applyAlignment="1" applyProtection="1">
      <alignment horizontal="center" vertical="center"/>
    </xf>
    <xf numFmtId="0" fontId="79" fillId="35" borderId="24" xfId="0" applyFont="1" applyFill="1" applyBorder="1" applyAlignment="1" applyProtection="1">
      <alignment horizontal="center" vertical="center"/>
    </xf>
    <xf numFmtId="0" fontId="79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/>
    <xf numFmtId="0" fontId="65" fillId="0" borderId="0" xfId="0" applyFont="1" applyProtection="1"/>
    <xf numFmtId="0" fontId="78" fillId="0" borderId="0" xfId="0" applyFont="1" applyProtection="1"/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6" fillId="0" borderId="0" xfId="0" applyFont="1" applyFill="1" applyProtection="1"/>
    <xf numFmtId="0" fontId="0" fillId="0" borderId="0" xfId="0" applyFont="1" applyFill="1" applyProtection="1"/>
    <xf numFmtId="0" fontId="72" fillId="0" borderId="0" xfId="0" applyFont="1" applyAlignment="1" applyProtection="1">
      <alignment horizontal="center"/>
    </xf>
    <xf numFmtId="0" fontId="6" fillId="36" borderId="17" xfId="0" applyFont="1" applyFill="1" applyBorder="1" applyAlignment="1" applyProtection="1">
      <alignment horizontal="center" vertical="center" wrapText="1"/>
    </xf>
    <xf numFmtId="0" fontId="6" fillId="36" borderId="17" xfId="0" applyFont="1" applyFill="1" applyBorder="1" applyAlignment="1" applyProtection="1">
      <alignment horizontal="center" vertical="center"/>
    </xf>
    <xf numFmtId="189" fontId="11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5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0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6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1" fillId="0" borderId="0" xfId="0" applyFont="1" applyProtection="1">
      <protection hidden="1"/>
    </xf>
    <xf numFmtId="188" fontId="11" fillId="0" borderId="0" xfId="0" applyNumberFormat="1" applyFont="1" applyProtection="1">
      <protection hidden="1"/>
    </xf>
    <xf numFmtId="0" fontId="11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1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7" fillId="37" borderId="20" xfId="3" applyFont="1" applyFill="1" applyBorder="1" applyAlignment="1" applyProtection="1">
      <alignment horizontal="center" vertical="center" wrapText="1"/>
    </xf>
    <xf numFmtId="0" fontId="7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8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7" fillId="0" borderId="0" xfId="3" applyAlignment="1" applyProtection="1">
      <alignment vertical="center"/>
    </xf>
    <xf numFmtId="0" fontId="7" fillId="0" borderId="0" xfId="3" applyFont="1" applyBorder="1" applyAlignment="1" applyProtection="1">
      <alignment vertical="center"/>
    </xf>
    <xf numFmtId="0" fontId="7" fillId="0" borderId="22" xfId="3" applyFont="1" applyBorder="1" applyAlignment="1" applyProtection="1">
      <alignment vertical="center"/>
    </xf>
    <xf numFmtId="0" fontId="7" fillId="0" borderId="23" xfId="3" applyFont="1" applyBorder="1" applyAlignment="1" applyProtection="1">
      <alignment vertical="center"/>
    </xf>
    <xf numFmtId="0" fontId="7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7" fillId="0" borderId="27" xfId="3" applyFont="1" applyBorder="1" applyAlignment="1" applyProtection="1">
      <alignment vertical="center"/>
    </xf>
    <xf numFmtId="0" fontId="7" fillId="0" borderId="26" xfId="3" applyFont="1" applyBorder="1" applyAlignment="1" applyProtection="1">
      <alignment vertical="center"/>
    </xf>
    <xf numFmtId="0" fontId="7" fillId="0" borderId="17" xfId="3" applyFont="1" applyBorder="1" applyAlignment="1" applyProtection="1">
      <alignment horizontal="center" vertical="center"/>
    </xf>
    <xf numFmtId="0" fontId="7" fillId="0" borderId="25" xfId="3" applyFont="1" applyBorder="1" applyAlignment="1" applyProtection="1">
      <alignment horizontal="center" vertical="center"/>
    </xf>
    <xf numFmtId="0" fontId="7" fillId="0" borderId="27" xfId="3" applyFont="1" applyBorder="1" applyAlignment="1" applyProtection="1">
      <alignment horizontal="center" vertical="center"/>
    </xf>
    <xf numFmtId="0" fontId="7" fillId="36" borderId="17" xfId="3" applyFont="1" applyFill="1" applyBorder="1" applyAlignment="1" applyProtection="1">
      <alignment horizontal="center" vertical="center"/>
    </xf>
    <xf numFmtId="0" fontId="7" fillId="36" borderId="17" xfId="3" applyFont="1" applyFill="1" applyBorder="1" applyAlignment="1" applyProtection="1">
      <alignment horizontal="center" vertical="center" wrapText="1"/>
    </xf>
    <xf numFmtId="0" fontId="7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7" fillId="0" borderId="17" xfId="3" quotePrefix="1" applyFont="1" applyBorder="1" applyAlignment="1" applyProtection="1">
      <alignment horizontal="center" vertical="center"/>
    </xf>
    <xf numFmtId="0" fontId="7" fillId="68" borderId="17" xfId="3" applyFont="1" applyFill="1" applyBorder="1" applyAlignment="1" applyProtection="1">
      <alignment horizontal="justify" vertical="center"/>
    </xf>
    <xf numFmtId="171" fontId="7" fillId="0" borderId="17" xfId="3" applyNumberFormat="1" applyFont="1" applyBorder="1" applyAlignment="1" applyProtection="1">
      <alignment vertical="center"/>
    </xf>
    <xf numFmtId="171" fontId="7" fillId="0" borderId="17" xfId="3" applyNumberFormat="1" applyFont="1" applyBorder="1" applyAlignment="1" applyProtection="1">
      <alignment horizontal="center" vertical="center"/>
    </xf>
    <xf numFmtId="170" fontId="7" fillId="0" borderId="17" xfId="3" applyNumberFormat="1" applyFont="1" applyBorder="1" applyAlignment="1" applyProtection="1">
      <alignment horizontal="center" vertical="center"/>
    </xf>
    <xf numFmtId="0" fontId="7" fillId="67" borderId="17" xfId="3" applyFont="1" applyFill="1" applyBorder="1" applyAlignment="1" applyProtection="1">
      <alignment horizontal="justify" vertical="center"/>
    </xf>
    <xf numFmtId="0" fontId="7" fillId="0" borderId="0" xfId="3" applyFont="1" applyBorder="1" applyAlignment="1" applyProtection="1">
      <alignment horizontal="center" vertical="center"/>
    </xf>
    <xf numFmtId="0" fontId="7" fillId="0" borderId="0" xfId="3" applyFont="1" applyAlignment="1" applyProtection="1">
      <alignment vertical="center"/>
    </xf>
    <xf numFmtId="171" fontId="7" fillId="0" borderId="0" xfId="3" applyNumberFormat="1" applyFont="1" applyBorder="1" applyAlignment="1" applyProtection="1">
      <alignment vertical="center"/>
    </xf>
    <xf numFmtId="0" fontId="7" fillId="69" borderId="17" xfId="3" applyFont="1" applyFill="1" applyBorder="1" applyAlignment="1" applyProtection="1">
      <alignment vertical="center" wrapText="1"/>
    </xf>
    <xf numFmtId="0" fontId="7" fillId="35" borderId="17" xfId="3" applyFont="1" applyFill="1" applyBorder="1" applyAlignment="1" applyProtection="1">
      <alignment horizontal="justify" vertical="center"/>
    </xf>
    <xf numFmtId="0" fontId="7" fillId="66" borderId="17" xfId="3" applyFont="1" applyFill="1" applyBorder="1" applyAlignment="1" applyProtection="1">
      <alignment horizontal="justify" vertical="center"/>
    </xf>
    <xf numFmtId="0" fontId="7" fillId="37" borderId="0" xfId="3" applyFont="1" applyFill="1" applyBorder="1" applyAlignment="1" applyProtection="1">
      <alignment vertical="center"/>
    </xf>
    <xf numFmtId="1" fontId="11" fillId="0" borderId="0" xfId="0" applyNumberFormat="1" applyFont="1" applyProtection="1">
      <protection hidden="1"/>
    </xf>
    <xf numFmtId="0" fontId="46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75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 applyProtection="1">
      <alignment horizontal="center" vertical="center"/>
      <protection hidden="1"/>
    </xf>
    <xf numFmtId="0" fontId="11" fillId="70" borderId="0" xfId="0" applyFont="1" applyFill="1" applyProtection="1">
      <protection hidden="1"/>
    </xf>
    <xf numFmtId="0" fontId="11" fillId="70" borderId="0" xfId="0" applyFont="1" applyFill="1"/>
    <xf numFmtId="0" fontId="11" fillId="70" borderId="0" xfId="0" applyFont="1" applyFill="1" applyAlignment="1" applyProtection="1">
      <alignment horizontal="center"/>
      <protection hidden="1"/>
    </xf>
    <xf numFmtId="0" fontId="11" fillId="70" borderId="0" xfId="0" quotePrefix="1" applyFont="1" applyFill="1" applyProtection="1">
      <protection hidden="1"/>
    </xf>
    <xf numFmtId="0" fontId="11" fillId="0" borderId="0" xfId="0" applyFont="1" applyFill="1" applyAlignment="1" applyProtection="1">
      <alignment horizontal="left"/>
      <protection hidden="1"/>
    </xf>
    <xf numFmtId="0" fontId="75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11" fillId="64" borderId="0" xfId="0" applyNumberFormat="1" applyFont="1" applyFill="1" applyProtection="1">
      <protection hidden="1"/>
    </xf>
    <xf numFmtId="0" fontId="75" fillId="0" borderId="0" xfId="0" applyFont="1" applyBorder="1" applyProtection="1"/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5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2" fillId="75" borderId="17" xfId="0" applyNumberFormat="1" applyFont="1" applyFill="1" applyBorder="1" applyAlignment="1" applyProtection="1">
      <alignment horizontal="center"/>
      <protection locked="0"/>
    </xf>
    <xf numFmtId="0" fontId="72" fillId="0" borderId="0" xfId="0" applyFont="1" applyFill="1" applyBorder="1" applyAlignment="1" applyProtection="1">
      <alignment horizontal="center"/>
    </xf>
    <xf numFmtId="0" fontId="11" fillId="71" borderId="74" xfId="0" applyFont="1" applyFill="1" applyBorder="1" applyAlignment="1" applyProtection="1">
      <alignment horizontal="center" vertical="center"/>
      <protection locked="0"/>
    </xf>
    <xf numFmtId="0" fontId="11" fillId="71" borderId="20" xfId="0" applyFont="1" applyFill="1" applyBorder="1" applyAlignment="1" applyProtection="1">
      <alignment horizontal="center" vertical="center"/>
      <protection locked="0"/>
    </xf>
    <xf numFmtId="0" fontId="11" fillId="71" borderId="59" xfId="0" applyFont="1" applyFill="1" applyBorder="1" applyAlignment="1" applyProtection="1">
      <alignment horizontal="center" vertical="center"/>
      <protection locked="0"/>
    </xf>
    <xf numFmtId="0" fontId="75" fillId="0" borderId="75" xfId="3" applyFont="1" applyBorder="1" applyAlignment="1" applyProtection="1">
      <alignment horizontal="center"/>
    </xf>
    <xf numFmtId="0" fontId="75" fillId="0" borderId="76" xfId="3" applyFont="1" applyBorder="1" applyAlignment="1" applyProtection="1">
      <alignment horizontal="center"/>
    </xf>
    <xf numFmtId="0" fontId="75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1" fillId="34" borderId="0" xfId="69" applyNumberFormat="1" applyFont="1" applyFill="1" applyBorder="1" applyProtection="1"/>
    <xf numFmtId="180" fontId="11" fillId="34" borderId="0" xfId="69" applyNumberFormat="1" applyFont="1" applyFill="1" applyBorder="1" applyAlignment="1" applyProtection="1">
      <alignment horizontal="center"/>
    </xf>
    <xf numFmtId="181" fontId="11" fillId="34" borderId="0" xfId="69" applyNumberFormat="1" applyFont="1" applyFill="1" applyBorder="1" applyProtection="1"/>
    <xf numFmtId="181" fontId="11" fillId="34" borderId="18" xfId="69" applyNumberFormat="1" applyFont="1" applyFill="1" applyBorder="1" applyProtection="1"/>
    <xf numFmtId="179" fontId="11" fillId="76" borderId="0" xfId="69" applyNumberFormat="1" applyFont="1" applyFill="1" applyBorder="1" applyProtection="1"/>
    <xf numFmtId="180" fontId="11" fillId="76" borderId="0" xfId="69" applyNumberFormat="1" applyFont="1" applyFill="1" applyBorder="1" applyAlignment="1" applyProtection="1">
      <alignment horizontal="center"/>
    </xf>
    <xf numFmtId="181" fontId="11" fillId="76" borderId="0" xfId="69" applyNumberFormat="1" applyFont="1" applyFill="1" applyBorder="1" applyProtection="1"/>
    <xf numFmtId="181" fontId="11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1" fillId="76" borderId="40" xfId="69" applyNumberFormat="1" applyFont="1" applyFill="1" applyBorder="1" applyProtection="1"/>
    <xf numFmtId="180" fontId="11" fillId="76" borderId="40" xfId="69" applyNumberFormat="1" applyFont="1" applyFill="1" applyBorder="1" applyAlignment="1" applyProtection="1">
      <alignment horizontal="center"/>
    </xf>
    <xf numFmtId="181" fontId="11" fillId="76" borderId="40" xfId="69" applyNumberFormat="1" applyFont="1" applyFill="1" applyBorder="1" applyProtection="1"/>
    <xf numFmtId="181" fontId="11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1" fontId="11" fillId="0" borderId="0" xfId="3" applyNumberFormat="1" applyFont="1" applyFill="1" applyAlignment="1" applyProtection="1">
      <alignment horizontal="left"/>
      <protection hidden="1"/>
    </xf>
    <xf numFmtId="1" fontId="11" fillId="0" borderId="0" xfId="3" applyNumberFormat="1" applyFont="1" applyFill="1" applyAlignment="1" applyProtection="1">
      <protection hidden="1"/>
    </xf>
    <xf numFmtId="0" fontId="11" fillId="0" borderId="0" xfId="3" applyFont="1" applyFill="1" applyAlignment="1" applyProtection="1">
      <protection hidden="1"/>
    </xf>
    <xf numFmtId="49" fontId="0" fillId="33" borderId="17" xfId="0" applyNumberFormat="1" applyFont="1" applyFill="1" applyBorder="1" applyAlignment="1" applyProtection="1">
      <alignment horizontal="center"/>
      <protection locked="0"/>
    </xf>
    <xf numFmtId="0" fontId="91" fillId="0" borderId="0" xfId="0" applyFont="1" applyBorder="1" applyAlignment="1" applyProtection="1">
      <alignment horizontal="left"/>
    </xf>
    <xf numFmtId="0" fontId="0" fillId="0" borderId="0" xfId="0" applyBorder="1" applyProtection="1"/>
    <xf numFmtId="0" fontId="11" fillId="36" borderId="12" xfId="0" applyFont="1" applyFill="1" applyBorder="1" applyProtection="1"/>
    <xf numFmtId="194" fontId="0" fillId="72" borderId="78" xfId="0" applyNumberFormat="1" applyFont="1" applyFill="1" applyBorder="1" applyAlignment="1" applyProtection="1">
      <alignment horizontal="center" vertical="center"/>
    </xf>
    <xf numFmtId="193" fontId="0" fillId="72" borderId="54" xfId="0" applyNumberFormat="1" applyFont="1" applyFill="1" applyBorder="1" applyAlignment="1" applyProtection="1">
      <alignment horizontal="center" vertical="center"/>
    </xf>
    <xf numFmtId="169" fontId="0" fillId="71" borderId="79" xfId="0" applyNumberFormat="1" applyFont="1" applyFill="1" applyBorder="1" applyAlignment="1" applyProtection="1">
      <alignment horizontal="center" vertical="center"/>
      <protection locked="0"/>
    </xf>
    <xf numFmtId="193" fontId="0" fillId="71" borderId="73" xfId="0" applyNumberFormat="1" applyFont="1" applyFill="1" applyBorder="1" applyAlignment="1" applyProtection="1">
      <alignment horizontal="center" vertical="center"/>
      <protection locked="0"/>
    </xf>
    <xf numFmtId="184" fontId="0" fillId="71" borderId="73" xfId="0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5" fillId="0" borderId="50" xfId="3" applyFont="1" applyBorder="1" applyAlignment="1" applyProtection="1">
      <alignment horizontal="left" vertical="center"/>
    </xf>
    <xf numFmtId="0" fontId="75" fillId="0" borderId="51" xfId="3" applyFont="1" applyBorder="1" applyAlignment="1" applyProtection="1">
      <alignment horizontal="left" vertical="center"/>
    </xf>
    <xf numFmtId="0" fontId="75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7" fillId="0" borderId="21" xfId="3" applyFont="1" applyBorder="1" applyAlignment="1" applyProtection="1">
      <alignment horizontal="center" vertical="center" wrapText="1"/>
    </xf>
    <xf numFmtId="0" fontId="7" fillId="0" borderId="25" xfId="3" applyFont="1" applyBorder="1" applyAlignment="1" applyProtection="1">
      <alignment horizontal="center" vertical="center"/>
    </xf>
    <xf numFmtId="0" fontId="7" fillId="0" borderId="22" xfId="3" applyFont="1" applyBorder="1" applyAlignment="1" applyProtection="1">
      <alignment horizontal="center" vertical="center"/>
    </xf>
    <xf numFmtId="0" fontId="7" fillId="0" borderId="24" xfId="3" applyFont="1" applyBorder="1" applyAlignment="1" applyProtection="1">
      <alignment horizontal="center" vertical="center"/>
    </xf>
    <xf numFmtId="0" fontId="7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6000000}"/>
    <cellStyle name="Komma 2 2" xfId="151" xr:uid="{00000000-0005-0000-0000-000057000000}"/>
    <cellStyle name="Komma 3" xfId="70" xr:uid="{00000000-0005-0000-0000-000058000000}"/>
    <cellStyle name="Kopfzeile1" xfId="71" xr:uid="{00000000-0005-0000-0000-000059000000}"/>
    <cellStyle name="Kopfzeile2" xfId="72" xr:uid="{00000000-0005-0000-0000-00005A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4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4030504</xdr:colOff>
      <xdr:row>0</xdr:row>
      <xdr:rowOff>794385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2023904</xdr:colOff>
      <xdr:row>0</xdr:row>
      <xdr:rowOff>807720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601504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2023904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672941</xdr:colOff>
      <xdr:row>0</xdr:row>
      <xdr:rowOff>794385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1881029</xdr:colOff>
      <xdr:row>0</xdr:row>
      <xdr:rowOff>807720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669324</xdr:colOff>
      <xdr:row>0</xdr:row>
      <xdr:rowOff>774619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x.mustermann@muster.d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80" zoomScaleNormal="80" workbookViewId="0">
      <selection activeCell="C29" sqref="C29"/>
    </sheetView>
  </sheetViews>
  <sheetFormatPr baseColWidth="10" defaultColWidth="0" defaultRowHeight="15" zeroHeight="1"/>
  <cols>
    <col min="1" max="1" width="2.855468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465</v>
      </c>
    </row>
    <row r="3" spans="2:7"/>
    <row r="4" spans="2:7">
      <c r="B4" s="8" t="s">
        <v>460</v>
      </c>
    </row>
    <row r="5" spans="2:7">
      <c r="B5" s="8" t="s">
        <v>461</v>
      </c>
    </row>
    <row r="6" spans="2:7"/>
    <row r="7" spans="2:7">
      <c r="B7" t="s">
        <v>337</v>
      </c>
    </row>
    <row r="8" spans="2:7" s="8" customFormat="1">
      <c r="B8" s="8" t="s">
        <v>462</v>
      </c>
    </row>
    <row r="9" spans="2:7" s="8" customFormat="1"/>
    <row r="10" spans="2:7" s="8" customFormat="1">
      <c r="B10" s="14" t="s">
        <v>447</v>
      </c>
    </row>
    <row r="11" spans="2:7" s="8" customFormat="1">
      <c r="B11" s="8" t="s">
        <v>498</v>
      </c>
    </row>
    <row r="12" spans="2:7" s="8" customFormat="1">
      <c r="B12" s="8" t="s">
        <v>499</v>
      </c>
    </row>
    <row r="13" spans="2:7" s="8" customFormat="1">
      <c r="B13" s="8" t="s">
        <v>505</v>
      </c>
    </row>
    <row r="14" spans="2:7" s="8" customFormat="1"/>
    <row r="15" spans="2:7">
      <c r="B15" s="20" t="s">
        <v>464</v>
      </c>
      <c r="C15" s="15"/>
    </row>
    <row r="16" spans="2:7">
      <c r="B16" s="15"/>
      <c r="C16" s="15"/>
      <c r="G16" s="10"/>
    </row>
    <row r="17" spans="2:12">
      <c r="B17" s="17" t="s">
        <v>344</v>
      </c>
      <c r="C17" s="15"/>
    </row>
    <row r="18" spans="2:12" s="8" customFormat="1">
      <c r="B18" s="18" t="s">
        <v>338</v>
      </c>
      <c r="C18" s="15"/>
    </row>
    <row r="19" spans="2:12" s="8" customFormat="1">
      <c r="B19" s="18" t="s">
        <v>339</v>
      </c>
      <c r="C19" s="15"/>
    </row>
    <row r="20" spans="2:12">
      <c r="B20" s="17"/>
      <c r="C20" s="15"/>
    </row>
    <row r="21" spans="2:12">
      <c r="B21" s="3" t="s">
        <v>463</v>
      </c>
      <c r="C21" s="15"/>
    </row>
    <row r="22" spans="2:12" s="8" customFormat="1">
      <c r="B22" s="18" t="s">
        <v>340</v>
      </c>
      <c r="C22" s="15"/>
    </row>
    <row r="23" spans="2:12" s="8" customFormat="1">
      <c r="B23" s="18" t="s">
        <v>341</v>
      </c>
      <c r="C23" s="15"/>
    </row>
    <row r="24" spans="2:12">
      <c r="B24" s="17"/>
      <c r="C24" s="15"/>
    </row>
    <row r="25" spans="2:12">
      <c r="B25" s="17" t="s">
        <v>345</v>
      </c>
      <c r="C25" s="15"/>
    </row>
    <row r="26" spans="2:12">
      <c r="B26" s="18" t="s">
        <v>342</v>
      </c>
      <c r="C26" s="15"/>
      <c r="F26" s="8"/>
      <c r="G26" s="8"/>
      <c r="H26" s="8"/>
    </row>
    <row r="27" spans="2:12">
      <c r="B27" s="18" t="s">
        <v>343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346</v>
      </c>
      <c r="C29" s="19">
        <v>42191</v>
      </c>
      <c r="E29" s="8"/>
      <c r="F29" s="8"/>
      <c r="G29" s="8"/>
      <c r="H29" s="8"/>
    </row>
    <row r="30" spans="2:12">
      <c r="B30" s="21" t="s">
        <v>347</v>
      </c>
      <c r="C30" s="327" t="s">
        <v>647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sheetProtection password="C883" sheet="1" objects="1" scenarios="1"/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8" sqref="D8"/>
    </sheetView>
  </sheetViews>
  <sheetFormatPr baseColWidth="10" defaultColWidth="0" defaultRowHeight="15" zeroHeight="1"/>
  <cols>
    <col min="1" max="1" width="2.85546875" style="8" customWidth="1"/>
    <col min="2" max="2" width="5.85546875" style="2" customWidth="1"/>
    <col min="3" max="3" width="65" customWidth="1"/>
    <col min="4" max="4" width="49.14062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651</v>
      </c>
      <c r="D4" s="27">
        <v>44470</v>
      </c>
      <c r="E4" s="15"/>
      <c r="F4" s="12"/>
      <c r="G4" s="2"/>
    </row>
    <row r="5" spans="1:8" ht="15" customHeight="1">
      <c r="B5" s="22"/>
      <c r="C5" s="15"/>
      <c r="D5" s="15"/>
      <c r="E5" s="15"/>
      <c r="F5" s="47"/>
      <c r="G5" s="2"/>
    </row>
    <row r="6" spans="1:8" ht="15" customHeight="1">
      <c r="B6" s="22"/>
      <c r="C6" s="66" t="s">
        <v>650</v>
      </c>
      <c r="D6" s="27">
        <v>44470</v>
      </c>
      <c r="E6" s="15"/>
      <c r="F6" s="47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7"/>
      <c r="G8" s="2"/>
    </row>
    <row r="9" spans="1:8" ht="15" customHeight="1">
      <c r="B9" s="23" t="s">
        <v>70</v>
      </c>
      <c r="C9" s="5" t="s">
        <v>260</v>
      </c>
      <c r="D9" s="41" t="s">
        <v>682</v>
      </c>
      <c r="E9" s="15"/>
      <c r="F9" s="47"/>
      <c r="G9" s="2"/>
    </row>
    <row r="10" spans="1:8" ht="15" customHeight="1">
      <c r="B10" s="22"/>
      <c r="C10" s="5"/>
      <c r="D10" s="28"/>
      <c r="E10" s="15"/>
      <c r="F10" s="47"/>
      <c r="G10" s="2"/>
    </row>
    <row r="11" spans="1:8" s="2" customFormat="1" ht="15" customHeight="1">
      <c r="A11" s="8"/>
      <c r="B11" s="23" t="s">
        <v>71</v>
      </c>
      <c r="C11" s="4" t="s">
        <v>485</v>
      </c>
      <c r="D11" s="331" t="s">
        <v>663</v>
      </c>
      <c r="E11" s="15"/>
      <c r="F11" s="47"/>
    </row>
    <row r="12" spans="1:8" s="2" customFormat="1" ht="15" customHeight="1">
      <c r="A12" s="8"/>
      <c r="B12" s="22"/>
      <c r="C12" s="5"/>
      <c r="D12" s="28"/>
      <c r="E12" s="15"/>
      <c r="F12" s="47"/>
    </row>
    <row r="13" spans="1:8" ht="15" customHeight="1">
      <c r="B13" s="23" t="s">
        <v>72</v>
      </c>
      <c r="C13" s="5" t="s">
        <v>261</v>
      </c>
      <c r="D13" s="41" t="s">
        <v>664</v>
      </c>
      <c r="E13" s="15"/>
      <c r="F13" s="47"/>
      <c r="G13" s="2"/>
    </row>
    <row r="14" spans="1:8" ht="15" customHeight="1">
      <c r="B14" s="22"/>
      <c r="C14" s="5"/>
      <c r="D14" s="29"/>
      <c r="E14" s="15"/>
      <c r="F14" s="47"/>
      <c r="G14" s="2"/>
    </row>
    <row r="15" spans="1:8" ht="15" customHeight="1">
      <c r="B15" s="23" t="s">
        <v>73</v>
      </c>
      <c r="C15" s="5" t="s">
        <v>262</v>
      </c>
      <c r="D15" s="43">
        <v>52351</v>
      </c>
      <c r="E15" s="15"/>
      <c r="F15" s="47"/>
      <c r="G15" s="2"/>
    </row>
    <row r="16" spans="1:8" ht="15" customHeight="1">
      <c r="B16" s="22"/>
      <c r="C16" s="5"/>
      <c r="D16" s="29"/>
      <c r="E16" s="15"/>
      <c r="F16" s="47"/>
      <c r="G16" s="2"/>
    </row>
    <row r="17" spans="1:15" ht="15" customHeight="1">
      <c r="B17" s="23" t="s">
        <v>74</v>
      </c>
      <c r="C17" s="5" t="s">
        <v>263</v>
      </c>
      <c r="D17" s="41" t="s">
        <v>662</v>
      </c>
      <c r="E17" s="15"/>
      <c r="F17" s="47"/>
      <c r="G17" s="2"/>
    </row>
    <row r="18" spans="1:15" ht="15" customHeight="1">
      <c r="B18" s="22"/>
      <c r="C18" s="5"/>
      <c r="D18" s="29"/>
      <c r="E18" s="15"/>
      <c r="F18" s="47"/>
      <c r="G18" s="2"/>
    </row>
    <row r="19" spans="1:15" ht="15" customHeight="1">
      <c r="B19" s="23" t="s">
        <v>75</v>
      </c>
      <c r="C19" s="5" t="s">
        <v>264</v>
      </c>
      <c r="D19" s="41" t="s">
        <v>665</v>
      </c>
      <c r="E19" s="15"/>
      <c r="F19" s="47"/>
      <c r="G19" s="2"/>
    </row>
    <row r="20" spans="1:15" ht="15" customHeight="1">
      <c r="B20" s="22"/>
      <c r="C20" s="5"/>
      <c r="D20" s="29"/>
      <c r="E20" s="15"/>
      <c r="F20" s="47"/>
      <c r="G20" s="2"/>
    </row>
    <row r="21" spans="1:15" ht="15" customHeight="1">
      <c r="B21" s="23" t="s">
        <v>76</v>
      </c>
      <c r="C21" s="5" t="s">
        <v>265</v>
      </c>
      <c r="D21" s="44" t="s">
        <v>666</v>
      </c>
      <c r="E21" s="15"/>
      <c r="F21" s="47"/>
      <c r="G21" s="2"/>
    </row>
    <row r="22" spans="1:15" ht="15" customHeight="1">
      <c r="B22" s="22"/>
      <c r="C22" s="5"/>
      <c r="D22" s="29"/>
      <c r="E22" s="15"/>
      <c r="F22" s="47"/>
      <c r="G22" s="2"/>
    </row>
    <row r="23" spans="1:15" ht="15" customHeight="1">
      <c r="B23" s="23" t="s">
        <v>77</v>
      </c>
      <c r="C23" s="5" t="s">
        <v>266</v>
      </c>
      <c r="D23" s="41" t="s">
        <v>681</v>
      </c>
      <c r="E23" s="15"/>
      <c r="F23" s="47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486</v>
      </c>
      <c r="D25" s="42">
        <v>1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459</v>
      </c>
      <c r="D27" s="42" t="s">
        <v>395</v>
      </c>
      <c r="E27" s="39"/>
      <c r="F27" s="11"/>
    </row>
    <row r="28" spans="1:15">
      <c r="B28" s="15"/>
      <c r="C28" s="65" t="s">
        <v>501</v>
      </c>
      <c r="D28" s="48" t="str">
        <f>IF(D27&lt;&gt;C28,VLOOKUP(D27,$C$29:$D$48,2,FALSE),C28)</f>
        <v>Netzgebiet Leitungspartner</v>
      </c>
      <c r="E28" s="38"/>
      <c r="F28" s="11"/>
      <c r="G28" s="2"/>
    </row>
    <row r="29" spans="1:15">
      <c r="B29" s="15"/>
      <c r="C29" s="22" t="s">
        <v>395</v>
      </c>
      <c r="D29" s="45" t="s">
        <v>667</v>
      </c>
      <c r="E29" s="40"/>
      <c r="F29" s="11"/>
      <c r="G29" s="2"/>
    </row>
    <row r="30" spans="1:15">
      <c r="B30" s="15"/>
      <c r="C30" s="22" t="s">
        <v>396</v>
      </c>
      <c r="D30" s="45"/>
      <c r="E30" s="40"/>
      <c r="F30" s="47"/>
      <c r="G30" s="2"/>
    </row>
    <row r="31" spans="1:15">
      <c r="B31" s="15"/>
      <c r="C31" s="22" t="s">
        <v>421</v>
      </c>
      <c r="D31" s="46"/>
      <c r="E31" s="40"/>
      <c r="F31" s="47"/>
      <c r="G31" s="2"/>
    </row>
    <row r="32" spans="1:15">
      <c r="B32" s="15"/>
      <c r="C32" s="22" t="s">
        <v>422</v>
      </c>
      <c r="D32" s="46"/>
      <c r="E32" s="40"/>
      <c r="F32" s="47"/>
      <c r="G32" s="2"/>
    </row>
    <row r="33" spans="2:7">
      <c r="B33" s="15"/>
      <c r="C33" s="22" t="s">
        <v>423</v>
      </c>
      <c r="D33" s="45"/>
      <c r="E33" s="40"/>
      <c r="F33" s="47"/>
      <c r="G33" s="2"/>
    </row>
    <row r="34" spans="2:7">
      <c r="B34" s="15"/>
      <c r="C34" s="22" t="s">
        <v>424</v>
      </c>
      <c r="D34" s="46"/>
      <c r="E34" s="40"/>
      <c r="F34" s="47"/>
      <c r="G34" s="2"/>
    </row>
    <row r="35" spans="2:7">
      <c r="B35" s="15"/>
      <c r="C35" s="22" t="s">
        <v>425</v>
      </c>
      <c r="D35" s="46"/>
      <c r="E35" s="40"/>
      <c r="F35" s="47"/>
      <c r="G35" s="2"/>
    </row>
    <row r="36" spans="2:7">
      <c r="B36" s="15"/>
      <c r="C36" s="22" t="s">
        <v>426</v>
      </c>
      <c r="D36" s="46"/>
      <c r="E36" s="40"/>
      <c r="F36" s="47"/>
      <c r="G36" s="2"/>
    </row>
    <row r="37" spans="2:7">
      <c r="B37" s="15"/>
      <c r="C37" s="22" t="s">
        <v>427</v>
      </c>
      <c r="D37" s="46"/>
      <c r="E37" s="40"/>
      <c r="F37" s="47"/>
      <c r="G37" s="2"/>
    </row>
    <row r="38" spans="2:7">
      <c r="B38" s="15"/>
      <c r="C38" s="22" t="s">
        <v>431</v>
      </c>
      <c r="D38" s="46"/>
      <c r="E38" s="40"/>
      <c r="F38" s="47"/>
      <c r="G38" s="2"/>
    </row>
    <row r="39" spans="2:7">
      <c r="B39" s="15"/>
      <c r="C39" s="22" t="s">
        <v>432</v>
      </c>
      <c r="D39" s="46"/>
      <c r="E39" s="40"/>
      <c r="F39" s="47"/>
      <c r="G39" s="2"/>
    </row>
    <row r="40" spans="2:7">
      <c r="B40" s="15"/>
      <c r="C40" s="22" t="s">
        <v>433</v>
      </c>
      <c r="D40" s="46"/>
      <c r="E40" s="40"/>
      <c r="F40" s="47"/>
      <c r="G40" s="2"/>
    </row>
    <row r="41" spans="2:7">
      <c r="B41" s="15"/>
      <c r="C41" s="22" t="s">
        <v>434</v>
      </c>
      <c r="D41" s="46"/>
      <c r="E41" s="40"/>
      <c r="F41" s="47"/>
      <c r="G41" s="2"/>
    </row>
    <row r="42" spans="2:7">
      <c r="B42" s="15"/>
      <c r="C42" s="22" t="s">
        <v>435</v>
      </c>
      <c r="D42" s="46"/>
      <c r="E42" s="40"/>
      <c r="F42" s="47"/>
      <c r="G42" s="2"/>
    </row>
    <row r="43" spans="2:7">
      <c r="B43" s="15"/>
      <c r="C43" s="22" t="s">
        <v>436</v>
      </c>
      <c r="D43" s="46"/>
      <c r="E43" s="40"/>
      <c r="F43" s="47"/>
      <c r="G43" s="2"/>
    </row>
    <row r="44" spans="2:7">
      <c r="B44" s="15"/>
      <c r="C44" s="22" t="s">
        <v>437</v>
      </c>
      <c r="D44" s="46"/>
      <c r="E44" s="40"/>
      <c r="F44" s="47"/>
      <c r="G44" s="2"/>
    </row>
    <row r="45" spans="2:7">
      <c r="B45" s="15"/>
      <c r="C45" s="22" t="s">
        <v>438</v>
      </c>
      <c r="D45" s="46"/>
      <c r="E45" s="40"/>
      <c r="F45" s="47"/>
      <c r="G45" s="2"/>
    </row>
    <row r="46" spans="2:7">
      <c r="B46" s="15"/>
      <c r="C46" s="22" t="s">
        <v>439</v>
      </c>
      <c r="D46" s="46"/>
      <c r="E46" s="40"/>
      <c r="F46" s="47"/>
    </row>
    <row r="47" spans="2:7">
      <c r="B47" s="15"/>
      <c r="C47" s="22" t="s">
        <v>440</v>
      </c>
      <c r="D47" s="46"/>
      <c r="E47" s="40"/>
      <c r="F47" s="47"/>
    </row>
    <row r="48" spans="2:7">
      <c r="B48" s="15"/>
      <c r="C48" s="22" t="s">
        <v>441</v>
      </c>
      <c r="D48" s="46"/>
      <c r="E48" s="40"/>
      <c r="F48" s="47"/>
    </row>
    <row r="49" spans="2:6">
      <c r="B49" s="15"/>
      <c r="C49" s="15"/>
      <c r="D49" s="15"/>
      <c r="E49" s="15"/>
      <c r="F49" s="15"/>
    </row>
    <row r="50" spans="2:6"/>
  </sheetData>
  <sheetProtection sheet="1" objects="1" scenarios="1"/>
  <conditionalFormatting sqref="D29:D48">
    <cfRule type="expression" dxfId="44" priority="2">
      <formula>IF(CELL("Zeile",D29)&lt;$D$25+CELL("Zeile",$D$29),1,0)</formula>
    </cfRule>
  </conditionalFormatting>
  <conditionalFormatting sqref="D30:D48">
    <cfRule type="expression" dxfId="43" priority="1">
      <formula>IF(CELL(D30)&lt;$D$27+27,1,0)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hyperlinks>
    <hyperlink ref="D21" r:id="rId1" display="max.mustermann@muster.de" xr:uid="{00000000-0004-0000-0100-000000000000}"/>
  </hyperlinks>
  <pageMargins left="0.7" right="0.7" top="0.78740157499999996" bottom="0.78740157499999996" header="0.3" footer="0.3"/>
  <pageSetup paperSize="9" scale="8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62"/>
  <sheetViews>
    <sheetView showGridLines="0" tabSelected="1" zoomScale="80" zoomScaleNormal="80" workbookViewId="0">
      <selection activeCell="D2" sqref="D2"/>
    </sheetView>
  </sheetViews>
  <sheetFormatPr baseColWidth="10" defaultColWidth="0" defaultRowHeight="18" customHeight="1"/>
  <cols>
    <col min="1" max="1" width="2.85546875" style="8" customWidth="1"/>
    <col min="2" max="2" width="5.85546875" style="8" customWidth="1"/>
    <col min="3" max="3" width="51.42578125" style="8" customWidth="1"/>
    <col min="4" max="4" width="33.140625" style="8" customWidth="1"/>
    <col min="5" max="5" width="26.5703125" style="8" customWidth="1"/>
    <col min="6" max="39" width="8.85546875" style="13" hidden="1" customWidth="1"/>
    <col min="40" max="16384" width="8.85546875" style="8" hidden="1"/>
  </cols>
  <sheetData>
    <row r="1" spans="2:15" ht="75" customHeight="1"/>
    <row r="2" spans="2:15" ht="23.25">
      <c r="B2" s="9" t="s">
        <v>268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6" t="s">
        <v>445</v>
      </c>
      <c r="D5" s="58" t="str">
        <f>Netzbetreiber!$D$9</f>
        <v>Leitungspartner GmbH</v>
      </c>
      <c r="H5" s="67"/>
      <c r="I5" s="67"/>
      <c r="J5" s="67"/>
      <c r="K5" s="67"/>
    </row>
    <row r="6" spans="2:15" ht="15" customHeight="1">
      <c r="B6" s="22"/>
      <c r="C6" s="61" t="s">
        <v>444</v>
      </c>
      <c r="D6" s="58" t="str">
        <f>Netzbetreiber!D28</f>
        <v>Netzgebiet Leitungspartner</v>
      </c>
      <c r="E6" s="15"/>
      <c r="H6" s="67"/>
      <c r="I6" s="67"/>
      <c r="J6" s="67"/>
      <c r="K6" s="67"/>
    </row>
    <row r="7" spans="2:15" ht="15" customHeight="1">
      <c r="B7" s="22"/>
      <c r="C7" s="60" t="s">
        <v>487</v>
      </c>
      <c r="D7" s="328" t="str">
        <f>Netzbetreiber!$D$11</f>
        <v>9870116800003</v>
      </c>
      <c r="E7" s="15"/>
      <c r="H7" s="67"/>
      <c r="I7" s="67"/>
      <c r="J7" s="67"/>
      <c r="K7" s="67"/>
    </row>
    <row r="8" spans="2:15" ht="15" customHeight="1">
      <c r="B8" s="22"/>
      <c r="C8" s="56" t="s">
        <v>132</v>
      </c>
      <c r="D8" s="50">
        <f>Netzbetreiber!$D$6</f>
        <v>44470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5"/>
      <c r="G9" s="266"/>
      <c r="H9" s="267"/>
      <c r="I9" s="267"/>
      <c r="J9" s="267"/>
      <c r="K9" s="267"/>
      <c r="L9" s="266"/>
      <c r="M9" s="266"/>
      <c r="N9" s="266"/>
      <c r="O9" s="266"/>
    </row>
    <row r="10" spans="2:15" ht="15" customHeight="1">
      <c r="B10" s="15"/>
      <c r="C10" s="15"/>
      <c r="D10" s="15"/>
      <c r="E10" s="15"/>
    </row>
    <row r="11" spans="2:15" ht="15" customHeight="1">
      <c r="B11" s="7" t="s">
        <v>80</v>
      </c>
      <c r="C11" s="5" t="s">
        <v>267</v>
      </c>
      <c r="D11" s="33" t="s">
        <v>684</v>
      </c>
      <c r="E11" s="15"/>
      <c r="H11" s="272" t="s">
        <v>255</v>
      </c>
      <c r="I11" s="272" t="s">
        <v>258</v>
      </c>
      <c r="J11" s="272" t="s">
        <v>259</v>
      </c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612</v>
      </c>
      <c r="D13" s="33" t="s">
        <v>614</v>
      </c>
      <c r="E13" s="15"/>
      <c r="H13" s="272" t="s">
        <v>613</v>
      </c>
      <c r="I13" s="272" t="s">
        <v>614</v>
      </c>
      <c r="J13" s="67"/>
      <c r="K13" s="67"/>
    </row>
    <row r="14" spans="2:15" ht="15" customHeight="1">
      <c r="B14" s="22"/>
      <c r="C14" s="5"/>
      <c r="D14" s="29"/>
      <c r="E14" s="15"/>
      <c r="H14" s="67"/>
      <c r="I14" s="67"/>
      <c r="J14" s="67"/>
      <c r="K14" s="67"/>
    </row>
    <row r="15" spans="2:15" ht="15" customHeight="1">
      <c r="B15" s="7" t="s">
        <v>82</v>
      </c>
      <c r="C15" s="5" t="s">
        <v>685</v>
      </c>
      <c r="D15" s="42" t="s">
        <v>686</v>
      </c>
      <c r="E15" s="15"/>
      <c r="H15" s="67"/>
      <c r="I15" s="67"/>
      <c r="J15" s="67"/>
      <c r="K15" s="67"/>
    </row>
    <row r="16" spans="2:15" ht="15" customHeight="1">
      <c r="B16" s="23"/>
      <c r="C16" s="5" t="s">
        <v>430</v>
      </c>
      <c r="D16" s="42"/>
      <c r="E16" s="15"/>
      <c r="H16" s="268"/>
      <c r="I16" s="268"/>
      <c r="J16" s="268"/>
      <c r="K16" s="268"/>
      <c r="L16" s="269"/>
    </row>
    <row r="17" spans="2:16" ht="15" customHeight="1">
      <c r="B17" s="22"/>
      <c r="C17" s="5"/>
      <c r="D17" s="29"/>
      <c r="E17" s="15"/>
      <c r="H17" s="268"/>
      <c r="I17" s="268"/>
      <c r="J17" s="268"/>
      <c r="K17" s="268"/>
      <c r="L17" s="269"/>
    </row>
    <row r="18" spans="2:16" ht="15" customHeight="1">
      <c r="B18" s="7" t="s">
        <v>83</v>
      </c>
      <c r="C18" s="31" t="s">
        <v>368</v>
      </c>
      <c r="D18" s="49" t="s">
        <v>256</v>
      </c>
      <c r="E18" s="15"/>
      <c r="H18" s="270" t="s">
        <v>256</v>
      </c>
      <c r="I18" s="270" t="s">
        <v>134</v>
      </c>
      <c r="J18" s="268"/>
      <c r="K18" s="268"/>
      <c r="L18" s="269"/>
    </row>
    <row r="19" spans="2:16" ht="15" customHeight="1">
      <c r="B19" s="22"/>
      <c r="C19" s="32" t="str">
        <f>HLOOKUP($D$18,$H$18:$I$20,2,0)</f>
        <v>=&gt; zeitnah ermittelter Netzzustand fließt nicht in Allokation ein</v>
      </c>
      <c r="D19" s="16"/>
      <c r="E19" s="15"/>
      <c r="H19" s="271" t="s">
        <v>573</v>
      </c>
      <c r="I19" s="271" t="s">
        <v>488</v>
      </c>
      <c r="J19" s="268"/>
      <c r="K19" s="268"/>
      <c r="L19" s="269"/>
    </row>
    <row r="20" spans="2:16" ht="15" customHeight="1">
      <c r="B20" s="22"/>
      <c r="C20" s="32" t="str">
        <f>HLOOKUP($D$18,$H$18:$I$20,3,0)</f>
        <v>=&gt; Zeitreihentyp SLPsyn</v>
      </c>
      <c r="D20" s="16"/>
      <c r="E20" s="15"/>
      <c r="H20" s="271" t="s">
        <v>489</v>
      </c>
      <c r="I20" s="271" t="s">
        <v>490</v>
      </c>
      <c r="J20" s="268"/>
      <c r="K20" s="268"/>
      <c r="L20" s="269"/>
    </row>
    <row r="21" spans="2:16" ht="15" customHeight="1">
      <c r="B21" s="22"/>
      <c r="C21" s="32"/>
      <c r="D21" s="16"/>
      <c r="E21" s="15"/>
      <c r="H21" s="271"/>
      <c r="I21" s="271"/>
      <c r="J21" s="268"/>
      <c r="K21" s="268"/>
      <c r="L21" s="269"/>
    </row>
    <row r="22" spans="2:16" ht="15" customHeight="1">
      <c r="B22" s="7" t="s">
        <v>84</v>
      </c>
      <c r="C22" s="8" t="s">
        <v>610</v>
      </c>
      <c r="D22" s="49" t="s">
        <v>606</v>
      </c>
      <c r="E22" s="15"/>
      <c r="H22" s="268" t="s">
        <v>606</v>
      </c>
      <c r="I22" s="268" t="s">
        <v>607</v>
      </c>
      <c r="J22" s="268"/>
      <c r="K22" s="8"/>
      <c r="L22" s="269"/>
    </row>
    <row r="23" spans="2:16" ht="15" customHeight="1">
      <c r="B23" s="7"/>
      <c r="C23" s="8" t="str">
        <f>HLOOKUP(D22,H22:I23,2,0)</f>
        <v>nach TU-München Verfahren</v>
      </c>
      <c r="D23" s="49" t="s">
        <v>608</v>
      </c>
      <c r="E23" s="15"/>
      <c r="H23" s="268" t="s">
        <v>609</v>
      </c>
      <c r="I23" s="8" t="s">
        <v>605</v>
      </c>
      <c r="J23" s="8"/>
      <c r="K23" s="8"/>
      <c r="L23" s="269"/>
    </row>
    <row r="24" spans="2:16" ht="15" customHeight="1">
      <c r="B24" s="22"/>
      <c r="C24" s="24" t="s">
        <v>611</v>
      </c>
      <c r="D24" s="24" t="str">
        <f>IF(D22=$H$22,L24,IF(D23=$H$24,M24,N24))</f>
        <v>=&gt;  Q(D) = KW  x  h(T, SLP-Typ)  x  F(WT)</v>
      </c>
      <c r="E24" s="15"/>
      <c r="H24" s="268" t="s">
        <v>608</v>
      </c>
      <c r="I24" s="268" t="s">
        <v>615</v>
      </c>
      <c r="J24" s="8"/>
      <c r="K24" s="8"/>
      <c r="L24" s="271" t="s">
        <v>616</v>
      </c>
      <c r="M24" s="271" t="s">
        <v>618</v>
      </c>
      <c r="N24" s="271" t="s">
        <v>617</v>
      </c>
      <c r="O24" s="8"/>
      <c r="P24" s="269"/>
    </row>
    <row r="25" spans="2:16" ht="15" customHeight="1">
      <c r="B25" s="22"/>
      <c r="C25" s="24"/>
      <c r="D25" s="15"/>
      <c r="E25" s="15"/>
      <c r="H25" s="268"/>
      <c r="I25" s="268"/>
      <c r="J25" s="268"/>
      <c r="K25" s="268"/>
      <c r="L25" s="269"/>
    </row>
    <row r="26" spans="2:16" ht="15" customHeight="1">
      <c r="B26" s="7" t="s">
        <v>370</v>
      </c>
      <c r="C26" s="6" t="s">
        <v>576</v>
      </c>
      <c r="D26" s="42" t="s">
        <v>135</v>
      </c>
      <c r="E26" s="15"/>
      <c r="H26" s="270" t="s">
        <v>133</v>
      </c>
      <c r="I26" s="270" t="s">
        <v>135</v>
      </c>
      <c r="J26" s="268"/>
      <c r="K26" s="268"/>
      <c r="L26" s="269"/>
    </row>
    <row r="27" spans="2:16" ht="15" customHeight="1">
      <c r="B27" s="7"/>
      <c r="C27" s="6" t="s">
        <v>619</v>
      </c>
      <c r="D27" s="42" t="s">
        <v>620</v>
      </c>
      <c r="E27" s="15"/>
      <c r="H27" s="297" t="s">
        <v>620</v>
      </c>
      <c r="I27" s="270" t="s">
        <v>621</v>
      </c>
      <c r="J27" s="270" t="s">
        <v>622</v>
      </c>
      <c r="K27" s="268"/>
      <c r="L27" s="269"/>
    </row>
    <row r="28" spans="2:16" ht="15" customHeight="1">
      <c r="B28" s="22"/>
      <c r="C28" s="15" t="str">
        <f>HLOOKUP(D27,H27:J28,2,0)</f>
        <v>=&gt; Q(Allokation)  =  Q(Synth.);    F(kor) = 1</v>
      </c>
      <c r="D28" s="298">
        <v>1</v>
      </c>
      <c r="E28" s="15"/>
      <c r="H28" s="271" t="s">
        <v>623</v>
      </c>
      <c r="I28" s="271" t="s">
        <v>624</v>
      </c>
      <c r="J28" s="271" t="s">
        <v>625</v>
      </c>
      <c r="K28" s="268"/>
      <c r="L28" s="269"/>
    </row>
    <row r="29" spans="2:16" ht="15" customHeight="1">
      <c r="B29" s="22"/>
      <c r="C29" s="15" t="str">
        <f>HLOOKUP(D27,H27:J29,3,0)</f>
        <v xml:space="preserve"> </v>
      </c>
      <c r="D29" s="299"/>
      <c r="E29" s="15"/>
      <c r="H29" s="271" t="s">
        <v>626</v>
      </c>
      <c r="I29" s="271" t="s">
        <v>627</v>
      </c>
      <c r="J29" s="271" t="s">
        <v>628</v>
      </c>
      <c r="K29" s="268"/>
      <c r="L29" s="269"/>
    </row>
    <row r="30" spans="2:16" ht="15" customHeight="1">
      <c r="B30" s="22"/>
      <c r="C30" s="24"/>
      <c r="D30" s="15"/>
      <c r="E30" s="15"/>
      <c r="H30" s="268"/>
      <c r="I30" s="268"/>
      <c r="J30" s="268"/>
      <c r="K30" s="268"/>
      <c r="L30" s="269"/>
    </row>
    <row r="31" spans="2:16" ht="15" customHeight="1">
      <c r="B31" s="7" t="s">
        <v>493</v>
      </c>
      <c r="C31" s="6" t="s">
        <v>575</v>
      </c>
      <c r="D31" s="42" t="s">
        <v>135</v>
      </c>
      <c r="E31" s="15"/>
      <c r="H31" s="270" t="s">
        <v>133</v>
      </c>
      <c r="I31" s="270" t="s">
        <v>135</v>
      </c>
      <c r="J31" s="268"/>
      <c r="K31" s="268"/>
      <c r="L31" s="269"/>
    </row>
    <row r="32" spans="2:16" ht="15" customHeight="1">
      <c r="B32" s="22"/>
      <c r="C32" s="15" t="str">
        <f>HLOOKUP(D31,$H$31:$I$32,2,0)</f>
        <v>=&gt; Q(Allokation)  =  Q(D-2);  F(opt) = 1</v>
      </c>
      <c r="D32" s="15"/>
      <c r="E32" s="15"/>
      <c r="H32" s="271" t="s">
        <v>629</v>
      </c>
      <c r="I32" s="271" t="s">
        <v>630</v>
      </c>
      <c r="J32" s="268"/>
      <c r="K32" s="268"/>
      <c r="L32" s="269"/>
    </row>
    <row r="33" spans="2:39" ht="15" customHeight="1">
      <c r="B33" s="22"/>
      <c r="C33" s="15" t="str">
        <f>HLOOKUP(D31,$H$31:$I$33,3,0)</f>
        <v xml:space="preserve"> </v>
      </c>
      <c r="D33" s="15"/>
      <c r="E33" s="15"/>
      <c r="H33" s="271" t="s">
        <v>631</v>
      </c>
      <c r="I33" s="268" t="s">
        <v>626</v>
      </c>
      <c r="J33" s="268"/>
      <c r="K33" s="268"/>
      <c r="L33" s="269"/>
    </row>
    <row r="34" spans="2:39" ht="15" customHeight="1">
      <c r="B34" s="22"/>
      <c r="C34" s="24"/>
      <c r="D34" s="15"/>
      <c r="E34" s="15"/>
      <c r="H34" s="268"/>
      <c r="I34" s="268"/>
      <c r="J34" s="268"/>
      <c r="K34" s="268"/>
      <c r="L34" s="269"/>
    </row>
    <row r="35" spans="2:39" ht="15" customHeight="1">
      <c r="B35" s="23" t="s">
        <v>547</v>
      </c>
      <c r="C35" s="24" t="s">
        <v>495</v>
      </c>
      <c r="D35" s="42">
        <v>24</v>
      </c>
      <c r="E35" s="15"/>
      <c r="H35" s="268"/>
      <c r="I35" s="268"/>
      <c r="J35" s="268"/>
      <c r="K35" s="268"/>
      <c r="L35" s="269"/>
    </row>
    <row r="36" spans="2:39" ht="15" customHeight="1">
      <c r="B36" s="22"/>
      <c r="C36" s="24"/>
      <c r="D36" s="15"/>
      <c r="E36" s="15"/>
      <c r="H36" s="268"/>
      <c r="I36" s="268"/>
      <c r="J36" s="268"/>
      <c r="K36" s="268"/>
      <c r="L36" s="269"/>
    </row>
    <row r="37" spans="2:39" ht="15" customHeight="1">
      <c r="B37" s="7" t="s">
        <v>548</v>
      </c>
      <c r="C37" s="5" t="s">
        <v>365</v>
      </c>
      <c r="D37" s="34">
        <v>1500000</v>
      </c>
      <c r="E37" s="15" t="s">
        <v>506</v>
      </c>
      <c r="I37" s="268"/>
      <c r="J37" s="268"/>
      <c r="K37" s="268"/>
      <c r="L37" s="268"/>
      <c r="M37" s="269"/>
    </row>
    <row r="38" spans="2:39" customFormat="1" ht="15" customHeight="1">
      <c r="C38" s="8" t="s">
        <v>491</v>
      </c>
      <c r="F38" s="13"/>
      <c r="G38" s="13"/>
      <c r="H38" s="67"/>
      <c r="I38" s="67"/>
      <c r="J38" s="67"/>
      <c r="K38" s="67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spans="2:39" ht="15" customHeight="1">
      <c r="B39" s="15"/>
      <c r="C39" s="35"/>
      <c r="D39" s="29"/>
      <c r="E39" s="15"/>
      <c r="H39" s="67"/>
      <c r="I39" s="67"/>
      <c r="J39" s="67"/>
      <c r="K39" s="67"/>
    </row>
    <row r="40" spans="2:39" ht="15" customHeight="1">
      <c r="B40" s="7" t="s">
        <v>549</v>
      </c>
      <c r="C40" s="5" t="s">
        <v>366</v>
      </c>
      <c r="D40" s="36">
        <v>500</v>
      </c>
      <c r="E40" s="15" t="s">
        <v>539</v>
      </c>
      <c r="H40" s="67"/>
      <c r="I40" s="67"/>
      <c r="J40" s="67"/>
      <c r="K40" s="67"/>
    </row>
    <row r="41" spans="2:39" ht="15" customHeight="1">
      <c r="C41" s="8" t="s">
        <v>492</v>
      </c>
    </row>
    <row r="42" spans="2:39" ht="15" customHeight="1">
      <c r="B42" s="7"/>
      <c r="C42" s="3"/>
    </row>
    <row r="43" spans="2:39" ht="15" customHeight="1">
      <c r="B43" s="7"/>
      <c r="C43" s="3" t="s">
        <v>538</v>
      </c>
    </row>
    <row r="44" spans="2:39" ht="18" customHeight="1">
      <c r="C44" s="3" t="s">
        <v>540</v>
      </c>
    </row>
    <row r="45" spans="2:39" ht="18" customHeight="1">
      <c r="C45" s="3"/>
    </row>
    <row r="46" spans="2:39" ht="15" customHeight="1">
      <c r="B46" s="22" t="s">
        <v>550</v>
      </c>
      <c r="C46" s="60" t="s">
        <v>574</v>
      </c>
      <c r="D46" s="42">
        <v>1</v>
      </c>
      <c r="E46" s="15"/>
      <c r="H46" s="13">
        <v>1</v>
      </c>
      <c r="I46" s="13">
        <v>2</v>
      </c>
      <c r="J46" s="13">
        <v>3</v>
      </c>
      <c r="K46" s="13">
        <v>4</v>
      </c>
      <c r="L46" s="13">
        <v>5</v>
      </c>
      <c r="M46" s="13">
        <v>6</v>
      </c>
      <c r="N46" s="13">
        <v>7</v>
      </c>
      <c r="O46" s="13">
        <v>8</v>
      </c>
      <c r="P46" s="13">
        <v>9</v>
      </c>
      <c r="Q46" s="13">
        <v>10</v>
      </c>
      <c r="R46" s="13">
        <v>11</v>
      </c>
      <c r="S46" s="13">
        <v>12</v>
      </c>
      <c r="T46" s="13">
        <v>13</v>
      </c>
      <c r="U46" s="13">
        <v>14</v>
      </c>
      <c r="V46" s="13">
        <v>15</v>
      </c>
    </row>
    <row r="47" spans="2:39" ht="15" customHeight="1">
      <c r="B47" s="22"/>
      <c r="C47" s="24"/>
      <c r="D47" s="15"/>
      <c r="E47" s="15"/>
      <c r="H47" s="13">
        <f>IF(H46&lt;=$D$46,H46,"")</f>
        <v>1</v>
      </c>
      <c r="I47" s="13" t="str">
        <f t="shared" ref="I47:V47" si="0">IF(I46&lt;=$D$46,I46,"")</f>
        <v/>
      </c>
      <c r="J47" s="13" t="str">
        <f t="shared" si="0"/>
        <v/>
      </c>
      <c r="K47" s="13" t="str">
        <f t="shared" si="0"/>
        <v/>
      </c>
      <c r="L47" s="13" t="str">
        <f t="shared" si="0"/>
        <v/>
      </c>
      <c r="M47" s="13" t="str">
        <f t="shared" si="0"/>
        <v/>
      </c>
      <c r="N47" s="13" t="str">
        <f t="shared" si="0"/>
        <v/>
      </c>
      <c r="O47" s="13" t="str">
        <f t="shared" si="0"/>
        <v/>
      </c>
      <c r="P47" s="13" t="str">
        <f t="shared" si="0"/>
        <v/>
      </c>
      <c r="Q47" s="13" t="str">
        <f t="shared" si="0"/>
        <v/>
      </c>
      <c r="R47" s="13" t="str">
        <f t="shared" si="0"/>
        <v/>
      </c>
      <c r="S47" s="13" t="str">
        <f t="shared" si="0"/>
        <v/>
      </c>
      <c r="T47" s="13" t="str">
        <f t="shared" si="0"/>
        <v/>
      </c>
      <c r="U47" s="13" t="str">
        <f t="shared" si="0"/>
        <v/>
      </c>
      <c r="V47" s="13" t="str">
        <f t="shared" si="0"/>
        <v/>
      </c>
    </row>
    <row r="48" spans="2:39" ht="18" customHeight="1">
      <c r="C48" s="22" t="s">
        <v>583</v>
      </c>
      <c r="D48" s="45" t="s">
        <v>662</v>
      </c>
    </row>
    <row r="49" spans="3:4" ht="18" customHeight="1">
      <c r="C49" s="22" t="s">
        <v>584</v>
      </c>
      <c r="D49" s="45"/>
    </row>
    <row r="50" spans="3:4" ht="18" customHeight="1">
      <c r="C50" s="22" t="s">
        <v>585</v>
      </c>
      <c r="D50" s="45"/>
    </row>
    <row r="51" spans="3:4" ht="18" customHeight="1">
      <c r="C51" s="22" t="s">
        <v>586</v>
      </c>
      <c r="D51" s="45"/>
    </row>
    <row r="52" spans="3:4" ht="18" customHeight="1">
      <c r="C52" s="22" t="s">
        <v>587</v>
      </c>
      <c r="D52" s="45"/>
    </row>
    <row r="53" spans="3:4" ht="18" customHeight="1">
      <c r="C53" s="22" t="s">
        <v>588</v>
      </c>
      <c r="D53" s="45"/>
    </row>
    <row r="54" spans="3:4" ht="18" customHeight="1">
      <c r="C54" s="22" t="s">
        <v>589</v>
      </c>
      <c r="D54" s="45"/>
    </row>
    <row r="55" spans="3:4" ht="18" customHeight="1">
      <c r="C55" s="22" t="s">
        <v>590</v>
      </c>
      <c r="D55" s="45"/>
    </row>
    <row r="56" spans="3:4" ht="18" customHeight="1">
      <c r="C56" s="22" t="s">
        <v>591</v>
      </c>
      <c r="D56" s="45"/>
    </row>
    <row r="57" spans="3:4" ht="18" customHeight="1">
      <c r="C57" s="22" t="s">
        <v>592</v>
      </c>
      <c r="D57" s="45"/>
    </row>
    <row r="58" spans="3:4" ht="18" customHeight="1">
      <c r="C58" s="22" t="s">
        <v>593</v>
      </c>
      <c r="D58" s="45"/>
    </row>
    <row r="59" spans="3:4" ht="18" customHeight="1">
      <c r="C59" s="22" t="s">
        <v>594</v>
      </c>
      <c r="D59" s="45"/>
    </row>
    <row r="60" spans="3:4" ht="18" customHeight="1">
      <c r="C60" s="22" t="s">
        <v>595</v>
      </c>
      <c r="D60" s="45"/>
    </row>
    <row r="61" spans="3:4" ht="18" customHeight="1">
      <c r="C61" s="22" t="s">
        <v>596</v>
      </c>
      <c r="D61" s="45"/>
    </row>
    <row r="62" spans="3:4" ht="18" customHeight="1">
      <c r="C62" s="22" t="s">
        <v>597</v>
      </c>
      <c r="D62" s="45"/>
    </row>
  </sheetData>
  <conditionalFormatting sqref="D15">
    <cfRule type="expression" dxfId="42" priority="25">
      <formula>IF($D$11="Gaspool",1,0)</formula>
    </cfRule>
  </conditionalFormatting>
  <conditionalFormatting sqref="D16">
    <cfRule type="expression" dxfId="41" priority="22">
      <formula>IF($D$11="NCG",1,0)</formula>
    </cfRule>
  </conditionalFormatting>
  <conditionalFormatting sqref="D52:D62 D48:D50">
    <cfRule type="expression" dxfId="40" priority="21">
      <formula>IF(CELL("Zeile",D48)&lt;$D$46+CELL("Zeile",$D$48),1,0)</formula>
    </cfRule>
  </conditionalFormatting>
  <conditionalFormatting sqref="D52:D62 D49:D50">
    <cfRule type="expression" dxfId="39" priority="20">
      <formula>IF(CELL(D49)&lt;$D$36+27,1,0)</formula>
    </cfRule>
  </conditionalFormatting>
  <conditionalFormatting sqref="D23">
    <cfRule type="expression" dxfId="38" priority="19">
      <formula>IF($D$22=$H$22,1,0)</formula>
    </cfRule>
  </conditionalFormatting>
  <conditionalFormatting sqref="D31">
    <cfRule type="expression" dxfId="37" priority="8">
      <formula>IF($D$18="synthetisch",1,0)</formula>
    </cfRule>
  </conditionalFormatting>
  <conditionalFormatting sqref="D28">
    <cfRule type="expression" dxfId="36" priority="6">
      <formula>IF(AND($D$27=$I$27,$D$26=$H$26),1,0)</formula>
    </cfRule>
  </conditionalFormatting>
  <conditionalFormatting sqref="D26:D28">
    <cfRule type="expression" dxfId="35" priority="9">
      <formula>IF($D$18="analytisch",1,0)</formula>
    </cfRule>
  </conditionalFormatting>
  <conditionalFormatting sqref="D27">
    <cfRule type="expression" dxfId="34" priority="7">
      <formula>IF($D$26="nein",1)</formula>
    </cfRule>
  </conditionalFormatting>
  <conditionalFormatting sqref="D51">
    <cfRule type="expression" dxfId="33" priority="2">
      <formula>IF(CELL("Zeile",D51)&lt;$D$46+CELL("Zeile",$D$48),1,0)</formula>
    </cfRule>
  </conditionalFormatting>
  <conditionalFormatting sqref="D51">
    <cfRule type="expression" dxfId="32" priority="1">
      <formula>IF(CELL(D51)&lt;$D$36+27,1,0)</formula>
    </cfRule>
  </conditionalFormatting>
  <dataValidations count="9">
    <dataValidation type="list" allowBlank="1" showInputMessage="1" showErrorMessage="1" sqref="D18" xr:uid="{00000000-0002-0000-0200-000000000000}">
      <formula1>$H$18:$I$18</formula1>
    </dataValidation>
    <dataValidation type="whole" allowBlank="1" showInputMessage="1" showErrorMessage="1" sqref="D35" xr:uid="{00000000-0002-0000-0200-000001000000}">
      <formula1>1</formula1>
      <formula2>200</formula2>
    </dataValidation>
    <dataValidation type="list" allowBlank="1" showInputMessage="1" showErrorMessage="1" sqref="D46" xr:uid="{00000000-0002-0000-0200-000002000000}">
      <formula1>$H$46:$V$46</formula1>
    </dataValidation>
    <dataValidation type="list" allowBlank="1" showInputMessage="1" showErrorMessage="1" sqref="D22" xr:uid="{00000000-0002-0000-0200-000003000000}">
      <formula1>$H$22:$I$22</formula1>
    </dataValidation>
    <dataValidation type="list" allowBlank="1" showInputMessage="1" showErrorMessage="1" sqref="D23" xr:uid="{00000000-0002-0000-0200-000004000000}">
      <formula1>$H$24:$I$24</formula1>
    </dataValidation>
    <dataValidation type="list" allowBlank="1" showInputMessage="1" showErrorMessage="1" sqref="D13" xr:uid="{00000000-0002-0000-0200-000006000000}">
      <formula1>$H$13:$I$13</formula1>
    </dataValidation>
    <dataValidation type="list" allowBlank="1" showInputMessage="1" showErrorMessage="1" sqref="D27" xr:uid="{00000000-0002-0000-0200-000007000000}">
      <formula1>$H$27:$J$27</formula1>
    </dataValidation>
    <dataValidation type="list" allowBlank="1" showInputMessage="1" showErrorMessage="1" sqref="D26" xr:uid="{00000000-0002-0000-0200-000008000000}">
      <formula1>$H$26:$I$26</formula1>
    </dataValidation>
    <dataValidation type="list" allowBlank="1" showInputMessage="1" showErrorMessage="1" sqref="D31" xr:uid="{00000000-0002-0000-0200-000009000000}">
      <formula1>$H$31:$I$31</formula1>
    </dataValidation>
  </dataValidations>
  <pageMargins left="0.7" right="0.7" top="0.78740157499999996" bottom="0.78740157499999996" header="0.3" footer="0.3"/>
  <pageSetup paperSize="9" scale="9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A9B76497-25DC-43C2-8891-3833CF16B95F}">
            <xm:f>IF($D$35&lt;&gt;'SLP-Profile'!$J$8,1,0)</xm:f>
            <x14:dxf>
              <fill>
                <patternFill>
                  <bgColor rgb="FFFF0000"/>
                </patternFill>
              </fill>
            </x14:dxf>
          </x14:cfRule>
          <xm:sqref>D35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XFC78"/>
  <sheetViews>
    <sheetView showGridLines="0" zoomScale="85" zoomScaleNormal="85" workbookViewId="0">
      <selection activeCell="I15" sqref="I15"/>
    </sheetView>
  </sheetViews>
  <sheetFormatPr baseColWidth="10" defaultColWidth="0" defaultRowHeight="15" zeroHeight="1"/>
  <cols>
    <col min="1" max="1" width="2.855468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140625" style="128" customWidth="1"/>
    <col min="16" max="16" width="7.28515625" style="170" customWidth="1"/>
    <col min="17" max="18" width="7.28515625" style="208" hidden="1" customWidth="1"/>
    <col min="19" max="19" width="13.42578125" style="208" hidden="1" customWidth="1"/>
    <col min="20" max="20" width="23.5703125" style="208" hidden="1" customWidth="1"/>
    <col min="21" max="21" width="5.42578125" style="208" hidden="1" customWidth="1"/>
    <col min="22" max="22" width="5" style="208" hidden="1" customWidth="1"/>
    <col min="23" max="23" width="5.28515625" style="208" hidden="1" customWidth="1"/>
    <col min="24" max="24" width="5" style="208" hidden="1" customWidth="1"/>
    <col min="25" max="25" width="8.140625" style="208" hidden="1" customWidth="1"/>
    <col min="26" max="26" width="11.7109375" style="208" hidden="1" customWidth="1"/>
    <col min="27" max="27" width="8.85546875" style="208" hidden="1" customWidth="1"/>
    <col min="28" max="28" width="11" style="208" hidden="1" customWidth="1"/>
    <col min="29" max="29" width="11" style="57" hidden="1" customWidth="1"/>
    <col min="30" max="36" width="4" style="57" hidden="1" customWidth="1"/>
    <col min="37" max="37" width="4.42578125" style="57" hidden="1" customWidth="1"/>
    <col min="38" max="38" width="4" style="57" hidden="1" customWidth="1"/>
    <col min="39" max="47" width="4.42578125" style="57" hidden="1" customWidth="1"/>
    <col min="48" max="48" width="4" style="57" hidden="1" customWidth="1"/>
    <col min="49" max="16383" width="22.5703125" style="57" hidden="1"/>
    <col min="16384" max="16384" width="1" style="57" hidden="1" customWidth="1"/>
  </cols>
  <sheetData>
    <row r="1" spans="2:56" ht="75" customHeight="1"/>
    <row r="2" spans="2:56" ht="23.25">
      <c r="B2" s="171" t="s">
        <v>542</v>
      </c>
    </row>
    <row r="3" spans="2:56" ht="15" customHeight="1">
      <c r="B3" s="171"/>
    </row>
    <row r="4" spans="2:56">
      <c r="B4" s="130"/>
      <c r="C4" s="56" t="s">
        <v>445</v>
      </c>
      <c r="D4" s="57"/>
      <c r="E4" s="330" t="str">
        <f>Netzbetreiber!D9</f>
        <v>Leitungspartner GmbH</v>
      </c>
      <c r="F4" s="330"/>
      <c r="G4" s="330"/>
      <c r="M4" s="130"/>
      <c r="N4" s="130"/>
      <c r="O4" s="130"/>
    </row>
    <row r="5" spans="2:56">
      <c r="B5" s="130"/>
      <c r="C5" s="56" t="s">
        <v>444</v>
      </c>
      <c r="D5" s="57"/>
      <c r="E5" s="58" t="str">
        <f>Netzbetreiber!D28</f>
        <v>Netzgebiet Leitungspartner</v>
      </c>
      <c r="F5" s="130"/>
      <c r="G5" s="130"/>
      <c r="H5" s="130"/>
      <c r="M5" s="130"/>
      <c r="N5" s="130"/>
      <c r="O5" s="130"/>
    </row>
    <row r="6" spans="2:56">
      <c r="B6" s="130"/>
      <c r="C6" s="60" t="s">
        <v>487</v>
      </c>
      <c r="D6" s="57"/>
      <c r="E6" s="329" t="str">
        <f>Netzbetreiber!D11</f>
        <v>9870116800003</v>
      </c>
      <c r="F6" s="329"/>
      <c r="G6" s="329"/>
      <c r="H6" s="130"/>
      <c r="I6" s="130"/>
      <c r="J6" s="130"/>
      <c r="K6" s="130"/>
      <c r="L6" s="130"/>
      <c r="M6" s="130"/>
      <c r="N6" s="130"/>
      <c r="O6" s="130"/>
    </row>
    <row r="7" spans="2:56">
      <c r="B7" s="130"/>
      <c r="C7" s="56" t="s">
        <v>132</v>
      </c>
      <c r="D7" s="57"/>
      <c r="E7" s="50">
        <f>Netzbetreiber!D6</f>
        <v>44470</v>
      </c>
      <c r="F7" s="130"/>
      <c r="G7" s="130"/>
      <c r="J7" s="130"/>
      <c r="K7" s="130"/>
      <c r="L7" s="130"/>
      <c r="M7" s="130"/>
      <c r="N7" s="130"/>
      <c r="O7" s="130"/>
    </row>
    <row r="8" spans="2:56">
      <c r="B8" s="130"/>
      <c r="C8" s="130"/>
      <c r="D8" s="130"/>
      <c r="E8" s="130"/>
      <c r="F8" s="130"/>
      <c r="G8" s="130"/>
      <c r="H8" s="88" t="s">
        <v>497</v>
      </c>
      <c r="J8" s="130"/>
      <c r="K8" s="130"/>
      <c r="L8" s="130"/>
      <c r="M8" s="130"/>
      <c r="N8" s="130"/>
      <c r="O8" s="130"/>
    </row>
    <row r="9" spans="2:56">
      <c r="B9" s="130"/>
      <c r="C9" s="60" t="s">
        <v>522</v>
      </c>
      <c r="D9" s="130"/>
      <c r="E9" s="130"/>
      <c r="F9" s="154">
        <f>'SLP-Verfahren L-Gas'!D46</f>
        <v>1</v>
      </c>
      <c r="H9" s="172" t="s">
        <v>598</v>
      </c>
      <c r="J9" s="130"/>
      <c r="K9" s="130"/>
      <c r="L9" s="130"/>
      <c r="M9" s="130"/>
      <c r="N9" s="130"/>
      <c r="O9" s="130"/>
    </row>
    <row r="10" spans="2:56">
      <c r="B10" s="130"/>
      <c r="C10" s="56" t="s">
        <v>582</v>
      </c>
      <c r="D10" s="130"/>
      <c r="E10" s="130"/>
      <c r="F10" s="49">
        <v>1</v>
      </c>
      <c r="G10" s="57"/>
      <c r="H10" s="172" t="s">
        <v>599</v>
      </c>
      <c r="J10" s="130"/>
      <c r="K10" s="130"/>
      <c r="L10" s="130"/>
      <c r="M10" s="130"/>
      <c r="N10" s="130"/>
      <c r="O10" s="130"/>
    </row>
    <row r="11" spans="2:56">
      <c r="B11" s="130"/>
      <c r="C11" s="56" t="s">
        <v>600</v>
      </c>
      <c r="D11" s="130"/>
      <c r="E11" s="130"/>
      <c r="F11" s="333" t="str">
        <f>INDEX('SLP-Verfahren L-Gas'!D48:D62,'SLP-Temp-Gebiet #01'!F10)</f>
        <v>Düren</v>
      </c>
      <c r="G11" s="333"/>
      <c r="H11" s="290"/>
      <c r="J11" s="130"/>
      <c r="K11" s="130"/>
      <c r="L11" s="130"/>
      <c r="M11" s="130"/>
      <c r="N11" s="130"/>
      <c r="O11" s="130"/>
    </row>
    <row r="12" spans="2:56"/>
    <row r="13" spans="2:56" ht="18" customHeight="1">
      <c r="B13" s="130"/>
      <c r="C13" s="340" t="s">
        <v>581</v>
      </c>
      <c r="D13" s="340"/>
      <c r="E13" s="340"/>
      <c r="F13" s="182" t="s">
        <v>546</v>
      </c>
      <c r="G13" s="130" t="s">
        <v>544</v>
      </c>
      <c r="H13" s="262" t="s">
        <v>561</v>
      </c>
      <c r="I13" s="57"/>
      <c r="J13" s="130"/>
      <c r="K13" s="130"/>
      <c r="L13" s="130"/>
      <c r="M13" s="130"/>
      <c r="N13" s="130"/>
      <c r="O13" s="130"/>
    </row>
    <row r="14" spans="2:56" ht="19.5" customHeight="1">
      <c r="B14" s="130"/>
      <c r="C14" s="341" t="s">
        <v>448</v>
      </c>
      <c r="D14" s="341"/>
      <c r="E14" s="89" t="s">
        <v>449</v>
      </c>
      <c r="F14" s="263" t="s">
        <v>84</v>
      </c>
      <c r="G14" s="264" t="s">
        <v>570</v>
      </c>
      <c r="H14" s="51">
        <v>0</v>
      </c>
      <c r="I14" s="57"/>
      <c r="J14" s="130"/>
      <c r="K14" s="130"/>
      <c r="L14" s="130"/>
      <c r="M14" s="130"/>
      <c r="N14" s="130"/>
      <c r="O14" s="332" t="s">
        <v>648</v>
      </c>
      <c r="R14" s="208" t="s">
        <v>562</v>
      </c>
      <c r="S14" s="208" t="s">
        <v>563</v>
      </c>
      <c r="T14" s="208" t="s">
        <v>564</v>
      </c>
      <c r="U14" s="208" t="s">
        <v>565</v>
      </c>
      <c r="V14" s="208" t="s">
        <v>545</v>
      </c>
      <c r="W14" s="208" t="s">
        <v>566</v>
      </c>
      <c r="X14" s="208" t="s">
        <v>567</v>
      </c>
      <c r="Y14" s="208" t="s">
        <v>568</v>
      </c>
      <c r="Z14" s="208" t="s">
        <v>569</v>
      </c>
      <c r="AA14" s="208" t="s">
        <v>570</v>
      </c>
      <c r="AB14" s="208" t="s">
        <v>571</v>
      </c>
      <c r="AC14" s="208" t="s">
        <v>572</v>
      </c>
    </row>
    <row r="15" spans="2:56" ht="19.5" customHeight="1">
      <c r="B15" s="130"/>
      <c r="C15" s="341" t="s">
        <v>387</v>
      </c>
      <c r="D15" s="341"/>
      <c r="E15" s="89" t="s">
        <v>449</v>
      </c>
      <c r="F15" s="263" t="s">
        <v>70</v>
      </c>
      <c r="G15" s="264" t="s">
        <v>564</v>
      </c>
      <c r="H15" s="51">
        <v>0</v>
      </c>
      <c r="I15" s="57"/>
      <c r="J15" s="130"/>
      <c r="K15" s="130"/>
      <c r="L15" s="130"/>
      <c r="M15" s="130"/>
      <c r="N15" s="130"/>
      <c r="O15" s="161" t="s">
        <v>683</v>
      </c>
      <c r="R15" s="261" t="s">
        <v>70</v>
      </c>
      <c r="S15" s="261" t="s">
        <v>71</v>
      </c>
      <c r="T15" s="261" t="s">
        <v>72</v>
      </c>
      <c r="U15" s="261" t="s">
        <v>73</v>
      </c>
      <c r="V15" s="261" t="s">
        <v>74</v>
      </c>
      <c r="W15" s="261" t="s">
        <v>75</v>
      </c>
      <c r="X15" s="261" t="s">
        <v>76</v>
      </c>
      <c r="Y15" s="261" t="s">
        <v>77</v>
      </c>
      <c r="Z15" s="261" t="s">
        <v>78</v>
      </c>
      <c r="AA15" s="261" t="s">
        <v>79</v>
      </c>
      <c r="AB15" s="261" t="s">
        <v>80</v>
      </c>
      <c r="AC15" s="261" t="s">
        <v>81</v>
      </c>
      <c r="AD15" s="261" t="s">
        <v>82</v>
      </c>
      <c r="AE15" s="261" t="s">
        <v>83</v>
      </c>
      <c r="AF15" s="261" t="s">
        <v>84</v>
      </c>
      <c r="AG15" s="261" t="s">
        <v>370</v>
      </c>
      <c r="AH15" s="261" t="s">
        <v>493</v>
      </c>
      <c r="AI15" s="261" t="s">
        <v>547</v>
      </c>
      <c r="AJ15" s="261" t="s">
        <v>548</v>
      </c>
      <c r="AK15" s="261" t="s">
        <v>549</v>
      </c>
      <c r="AL15" s="261" t="s">
        <v>550</v>
      </c>
      <c r="AM15" s="261" t="s">
        <v>551</v>
      </c>
      <c r="AN15" s="261" t="s">
        <v>552</v>
      </c>
      <c r="AO15" s="261" t="s">
        <v>553</v>
      </c>
      <c r="AP15" s="261" t="s">
        <v>554</v>
      </c>
      <c r="AQ15" s="261" t="s">
        <v>555</v>
      </c>
      <c r="AR15" s="261" t="s">
        <v>556</v>
      </c>
      <c r="AS15" s="261" t="s">
        <v>557</v>
      </c>
      <c r="AT15" s="261" t="s">
        <v>558</v>
      </c>
      <c r="AU15" s="261" t="s">
        <v>559</v>
      </c>
      <c r="AV15" s="261" t="s">
        <v>560</v>
      </c>
      <c r="AW15" s="261"/>
      <c r="AX15" s="261"/>
      <c r="AY15" s="261"/>
      <c r="AZ15" s="261"/>
      <c r="BA15" s="261"/>
      <c r="BB15" s="261"/>
      <c r="BC15" s="261"/>
      <c r="BD15" s="261"/>
    </row>
    <row r="16" spans="2:56" ht="19.5" customHeight="1">
      <c r="B16" s="130"/>
      <c r="C16" s="173"/>
      <c r="D16" s="174"/>
      <c r="E16" s="130"/>
      <c r="F16" s="57"/>
      <c r="G16" s="130"/>
      <c r="H16" s="130"/>
      <c r="I16" s="130"/>
      <c r="J16" s="130"/>
      <c r="K16" s="130"/>
      <c r="L16" s="130"/>
      <c r="M16" s="130"/>
      <c r="N16" s="130"/>
      <c r="O16" s="130"/>
      <c r="R16" s="209"/>
      <c r="S16" s="209"/>
    </row>
    <row r="17" spans="2:28" ht="19.5" customHeight="1">
      <c r="B17" s="175" t="s">
        <v>517</v>
      </c>
      <c r="C17" s="176"/>
      <c r="D17" s="174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09"/>
      <c r="S17" s="209"/>
    </row>
    <row r="18" spans="2:28">
      <c r="B18" s="130"/>
      <c r="C18" s="56" t="s">
        <v>523</v>
      </c>
      <c r="D18" s="130"/>
      <c r="E18" s="130"/>
      <c r="F18" s="49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7">
        <f>IF(E20&gt;$F$18,0,1)</f>
        <v>1</v>
      </c>
      <c r="F19" s="177">
        <f t="shared" ref="F19:N19" si="0">IF(F20&gt;$F$18,0,1)</f>
        <v>0</v>
      </c>
      <c r="G19" s="177">
        <f t="shared" si="0"/>
        <v>0</v>
      </c>
      <c r="H19" s="177">
        <f t="shared" si="0"/>
        <v>0</v>
      </c>
      <c r="I19" s="177">
        <f t="shared" si="0"/>
        <v>0</v>
      </c>
      <c r="J19" s="177">
        <f t="shared" si="0"/>
        <v>0</v>
      </c>
      <c r="K19" s="177">
        <f t="shared" si="0"/>
        <v>0</v>
      </c>
      <c r="L19" s="177">
        <f t="shared" si="0"/>
        <v>0</v>
      </c>
      <c r="M19" s="177">
        <f t="shared" si="0"/>
        <v>0</v>
      </c>
      <c r="N19" s="177">
        <f t="shared" si="0"/>
        <v>0</v>
      </c>
      <c r="O19" s="130"/>
    </row>
    <row r="20" spans="2:28" ht="33.75" customHeight="1">
      <c r="B20" s="130"/>
      <c r="C20" s="178" t="s">
        <v>518</v>
      </c>
      <c r="D20" s="179" t="s">
        <v>513</v>
      </c>
      <c r="E20" s="180">
        <v>1</v>
      </c>
      <c r="F20" s="180">
        <v>2</v>
      </c>
      <c r="G20" s="180">
        <v>3</v>
      </c>
      <c r="H20" s="180">
        <v>4</v>
      </c>
      <c r="I20" s="180">
        <v>5</v>
      </c>
      <c r="J20" s="180">
        <v>6</v>
      </c>
      <c r="K20" s="180">
        <v>7</v>
      </c>
      <c r="L20" s="180">
        <v>8</v>
      </c>
      <c r="M20" s="180">
        <v>9</v>
      </c>
      <c r="N20" s="180">
        <v>10</v>
      </c>
      <c r="O20" s="181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2"/>
      <c r="C21" s="183" t="s">
        <v>525</v>
      </c>
      <c r="D21" s="153" t="s">
        <v>515</v>
      </c>
      <c r="E21" s="282">
        <f>1-SUMPRODUCT(F19:N19,F21:N21)</f>
        <v>1</v>
      </c>
      <c r="F21" s="282">
        <f>ROUND(F22/$D$22,4)</f>
        <v>1</v>
      </c>
      <c r="G21" s="283">
        <f t="shared" ref="G21:N21" si="1">ROUND(G22/$D$22,4)</f>
        <v>0</v>
      </c>
      <c r="H21" s="283">
        <f t="shared" si="1"/>
        <v>0</v>
      </c>
      <c r="I21" s="283">
        <f t="shared" si="1"/>
        <v>0</v>
      </c>
      <c r="J21" s="283">
        <f t="shared" si="1"/>
        <v>0</v>
      </c>
      <c r="K21" s="283">
        <f t="shared" si="1"/>
        <v>0</v>
      </c>
      <c r="L21" s="283">
        <f t="shared" si="1"/>
        <v>0</v>
      </c>
      <c r="M21" s="283">
        <f t="shared" si="1"/>
        <v>0</v>
      </c>
      <c r="N21" s="283">
        <f t="shared" si="1"/>
        <v>0</v>
      </c>
      <c r="O21" s="184"/>
      <c r="Q21" s="210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2"/>
      <c r="C22" s="183" t="s">
        <v>535</v>
      </c>
      <c r="D22" s="185">
        <f>SUMPRODUCT(E22:N22,E19:N19)</f>
        <v>1</v>
      </c>
      <c r="E22" s="284">
        <v>1</v>
      </c>
      <c r="F22" s="284">
        <v>1</v>
      </c>
      <c r="G22" s="285"/>
      <c r="H22" s="285"/>
      <c r="I22" s="285"/>
      <c r="J22" s="285"/>
      <c r="K22" s="285"/>
      <c r="L22" s="285"/>
      <c r="M22" s="285"/>
      <c r="N22" s="285"/>
      <c r="O22" s="184" t="s">
        <v>144</v>
      </c>
      <c r="Q22" s="210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2"/>
      <c r="C23" s="186" t="s">
        <v>136</v>
      </c>
      <c r="D23" s="187"/>
      <c r="E23" s="160" t="s">
        <v>683</v>
      </c>
      <c r="F23" s="156" t="s">
        <v>652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4" t="s">
        <v>141</v>
      </c>
      <c r="Q23" s="210"/>
      <c r="R23" s="67" t="s">
        <v>138</v>
      </c>
      <c r="S23" s="67" t="s">
        <v>502</v>
      </c>
      <c r="T23" s="289" t="str">
        <f>O15</f>
        <v>Allokationstemperatur der Leitungspartner GmbH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2"/>
      <c r="C24" s="186" t="s">
        <v>520</v>
      </c>
      <c r="D24" s="187"/>
      <c r="E24" s="156" t="s">
        <v>662</v>
      </c>
      <c r="F24" s="156" t="s">
        <v>579</v>
      </c>
      <c r="G24" s="156"/>
      <c r="H24" s="156"/>
      <c r="I24" s="156"/>
      <c r="J24" s="156"/>
      <c r="K24" s="156"/>
      <c r="L24" s="156"/>
      <c r="M24" s="156"/>
      <c r="N24" s="156"/>
      <c r="O24" s="184" t="s">
        <v>521</v>
      </c>
      <c r="Q24" s="210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2"/>
      <c r="C25" s="186" t="s">
        <v>514</v>
      </c>
      <c r="D25" s="187"/>
      <c r="E25" s="160">
        <v>95040</v>
      </c>
      <c r="F25" s="160" t="s">
        <v>363</v>
      </c>
      <c r="G25" s="160"/>
      <c r="H25" s="160"/>
      <c r="I25" s="160"/>
      <c r="J25" s="160"/>
      <c r="K25" s="160"/>
      <c r="L25" s="160"/>
      <c r="M25" s="160"/>
      <c r="N25" s="160"/>
      <c r="O25" s="184" t="s">
        <v>142</v>
      </c>
      <c r="Q25" s="210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2"/>
      <c r="C26" s="186" t="s">
        <v>140</v>
      </c>
      <c r="D26" s="187"/>
      <c r="E26" s="156" t="s">
        <v>503</v>
      </c>
      <c r="F26" s="156" t="s">
        <v>503</v>
      </c>
      <c r="G26" s="156"/>
      <c r="H26" s="156"/>
      <c r="I26" s="156"/>
      <c r="J26" s="156"/>
      <c r="K26" s="156"/>
      <c r="L26" s="156"/>
      <c r="M26" s="156"/>
      <c r="N26" s="156"/>
      <c r="O26" s="184" t="s">
        <v>141</v>
      </c>
      <c r="Q26" s="210"/>
      <c r="R26" s="67" t="s">
        <v>503</v>
      </c>
      <c r="S26" s="67" t="s">
        <v>504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2"/>
      <c r="C27" s="188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Q27" s="210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6" t="s">
        <v>519</v>
      </c>
      <c r="D28" s="130"/>
      <c r="E28" s="130"/>
      <c r="F28" s="49">
        <v>1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7">
        <f>IF(E30&gt;$F$28,0,1)</f>
        <v>1</v>
      </c>
      <c r="F29" s="177">
        <f t="shared" ref="F29:N29" si="2">IF(F30&gt;$F$28,0,1)</f>
        <v>0</v>
      </c>
      <c r="G29" s="177">
        <f t="shared" si="2"/>
        <v>0</v>
      </c>
      <c r="H29" s="177">
        <f t="shared" si="2"/>
        <v>0</v>
      </c>
      <c r="I29" s="177">
        <f t="shared" si="2"/>
        <v>0</v>
      </c>
      <c r="J29" s="177">
        <f t="shared" si="2"/>
        <v>0</v>
      </c>
      <c r="K29" s="177">
        <f t="shared" si="2"/>
        <v>0</v>
      </c>
      <c r="L29" s="177">
        <f t="shared" si="2"/>
        <v>0</v>
      </c>
      <c r="M29" s="177">
        <f t="shared" si="2"/>
        <v>0</v>
      </c>
      <c r="N29" s="177">
        <f t="shared" si="2"/>
        <v>0</v>
      </c>
      <c r="Q29" s="210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2"/>
      <c r="C30" s="178" t="s">
        <v>139</v>
      </c>
      <c r="D30" s="179" t="s">
        <v>254</v>
      </c>
      <c r="E30" s="190">
        <v>1</v>
      </c>
      <c r="F30" s="190">
        <v>2</v>
      </c>
      <c r="G30" s="190">
        <v>3</v>
      </c>
      <c r="H30" s="190">
        <v>4</v>
      </c>
      <c r="I30" s="190">
        <v>5</v>
      </c>
      <c r="J30" s="190">
        <v>6</v>
      </c>
      <c r="K30" s="190">
        <v>7</v>
      </c>
      <c r="L30" s="190">
        <v>8</v>
      </c>
      <c r="M30" s="190">
        <v>9</v>
      </c>
      <c r="N30" s="190">
        <v>10</v>
      </c>
      <c r="O30" s="181" t="s">
        <v>143</v>
      </c>
      <c r="Q30" s="210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2"/>
      <c r="C31" s="183" t="s">
        <v>526</v>
      </c>
      <c r="D31" s="185" t="s">
        <v>253</v>
      </c>
      <c r="E31" s="280">
        <f>1-SUMPRODUCT(F29:N29,F31:N31)</f>
        <v>1</v>
      </c>
      <c r="F31" s="280">
        <f>ROUND(F32/$D$32,4)</f>
        <v>0.5</v>
      </c>
      <c r="G31" s="280">
        <f t="shared" ref="G31:N31" si="3">ROUND(G32/$D$32,4)</f>
        <v>0.25</v>
      </c>
      <c r="H31" s="280">
        <f t="shared" si="3"/>
        <v>0.125</v>
      </c>
      <c r="I31" s="280">
        <f t="shared" si="3"/>
        <v>0</v>
      </c>
      <c r="J31" s="280">
        <f t="shared" si="3"/>
        <v>0</v>
      </c>
      <c r="K31" s="280">
        <f t="shared" si="3"/>
        <v>0</v>
      </c>
      <c r="L31" s="280">
        <f t="shared" si="3"/>
        <v>0</v>
      </c>
      <c r="M31" s="280">
        <f t="shared" si="3"/>
        <v>0</v>
      </c>
      <c r="N31" s="280">
        <f t="shared" si="3"/>
        <v>0</v>
      </c>
      <c r="O31" s="184"/>
      <c r="Q31" s="210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2"/>
      <c r="C32" s="183" t="s">
        <v>531</v>
      </c>
      <c r="D32" s="286">
        <f>SUMPRODUCT(E32:N32,E29:N29)</f>
        <v>1</v>
      </c>
      <c r="E32" s="281">
        <v>1</v>
      </c>
      <c r="F32" s="281">
        <v>0.5</v>
      </c>
      <c r="G32" s="281">
        <v>0.25</v>
      </c>
      <c r="H32" s="281">
        <v>0.125</v>
      </c>
      <c r="I32" s="155"/>
      <c r="J32" s="155"/>
      <c r="K32" s="155"/>
      <c r="L32" s="155"/>
      <c r="M32" s="155"/>
      <c r="N32" s="155"/>
      <c r="O32" s="184" t="s">
        <v>144</v>
      </c>
      <c r="Q32" s="210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2"/>
      <c r="C33" s="186" t="s">
        <v>361</v>
      </c>
      <c r="D33" s="153" t="s">
        <v>360</v>
      </c>
      <c r="E33" s="156" t="s">
        <v>3</v>
      </c>
      <c r="F33" s="156" t="s">
        <v>359</v>
      </c>
      <c r="G33" s="156" t="s">
        <v>350</v>
      </c>
      <c r="H33" s="156" t="s">
        <v>351</v>
      </c>
      <c r="I33" s="156"/>
      <c r="J33" s="156"/>
      <c r="K33" s="156"/>
      <c r="L33" s="156"/>
      <c r="M33" s="156"/>
      <c r="N33" s="156"/>
      <c r="O33" s="184" t="s">
        <v>141</v>
      </c>
      <c r="Q33" s="210"/>
      <c r="R33" s="67" t="s">
        <v>3</v>
      </c>
      <c r="S33" s="67" t="s">
        <v>359</v>
      </c>
      <c r="T33" s="67" t="s">
        <v>350</v>
      </c>
      <c r="U33" s="67" t="s">
        <v>351</v>
      </c>
      <c r="V33" s="67" t="s">
        <v>352</v>
      </c>
      <c r="W33" s="67" t="s">
        <v>353</v>
      </c>
      <c r="X33" s="67" t="s">
        <v>354</v>
      </c>
      <c r="Y33" s="67" t="s">
        <v>355</v>
      </c>
      <c r="Z33" s="67" t="s">
        <v>356</v>
      </c>
      <c r="AA33" s="67" t="s">
        <v>357</v>
      </c>
      <c r="AB33" s="67" t="s">
        <v>358</v>
      </c>
    </row>
    <row r="34" spans="2:28">
      <c r="B34" s="182"/>
      <c r="C34" s="186" t="s">
        <v>451</v>
      </c>
      <c r="D34" s="153" t="s">
        <v>450</v>
      </c>
      <c r="E34" s="156" t="s">
        <v>511</v>
      </c>
      <c r="F34" s="156" t="s">
        <v>511</v>
      </c>
      <c r="G34" s="156" t="s">
        <v>511</v>
      </c>
      <c r="H34" s="156" t="s">
        <v>511</v>
      </c>
      <c r="I34" s="162"/>
      <c r="J34" s="162"/>
      <c r="K34" s="162"/>
      <c r="L34" s="162"/>
      <c r="M34" s="162"/>
      <c r="N34" s="162"/>
      <c r="O34" s="184" t="s">
        <v>141</v>
      </c>
      <c r="Q34" s="210"/>
      <c r="R34" s="67" t="s">
        <v>511</v>
      </c>
      <c r="S34" s="67" t="s">
        <v>512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2"/>
      <c r="C35" s="186" t="s">
        <v>602</v>
      </c>
      <c r="D35" s="153" t="s">
        <v>603</v>
      </c>
      <c r="E35" s="156" t="s">
        <v>601</v>
      </c>
      <c r="F35" s="156" t="s">
        <v>601</v>
      </c>
      <c r="G35" s="156" t="s">
        <v>601</v>
      </c>
      <c r="H35" s="156" t="s">
        <v>601</v>
      </c>
      <c r="I35" s="156" t="s">
        <v>601</v>
      </c>
      <c r="J35" s="156" t="s">
        <v>601</v>
      </c>
      <c r="K35" s="156" t="s">
        <v>601</v>
      </c>
      <c r="L35" s="156" t="s">
        <v>601</v>
      </c>
      <c r="M35" s="156" t="s">
        <v>601</v>
      </c>
      <c r="N35" s="156" t="s">
        <v>601</v>
      </c>
      <c r="O35" s="184" t="s">
        <v>141</v>
      </c>
      <c r="Q35" s="210"/>
      <c r="R35" s="67" t="s">
        <v>601</v>
      </c>
      <c r="S35" s="67" t="s">
        <v>604</v>
      </c>
      <c r="T35" s="57"/>
      <c r="U35" s="67"/>
      <c r="V35" s="67"/>
      <c r="W35" s="67"/>
      <c r="X35" s="67"/>
      <c r="Y35" s="67"/>
      <c r="Z35" s="67"/>
      <c r="AA35" s="67"/>
      <c r="AB35" s="67"/>
    </row>
    <row r="36" spans="2:28">
      <c r="B36" s="182"/>
      <c r="C36" s="191" t="s">
        <v>443</v>
      </c>
      <c r="D36" s="119" t="s">
        <v>536</v>
      </c>
      <c r="E36" s="162" t="s">
        <v>452</v>
      </c>
      <c r="F36" s="162" t="s">
        <v>452</v>
      </c>
      <c r="G36" s="162" t="s">
        <v>453</v>
      </c>
      <c r="H36" s="162" t="s">
        <v>453</v>
      </c>
      <c r="I36" s="162"/>
      <c r="J36" s="162"/>
      <c r="K36" s="162"/>
      <c r="L36" s="162"/>
      <c r="M36" s="162"/>
      <c r="N36" s="162"/>
      <c r="O36" s="184" t="s">
        <v>141</v>
      </c>
      <c r="Q36" s="210"/>
      <c r="R36" s="67" t="s">
        <v>453</v>
      </c>
      <c r="S36" s="67" t="s">
        <v>452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2"/>
      <c r="C38" s="193" t="s">
        <v>269</v>
      </c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5"/>
    </row>
    <row r="39" spans="2:28" ht="18">
      <c r="B39" s="192"/>
      <c r="C39" s="196" t="s">
        <v>349</v>
      </c>
      <c r="D39" s="197"/>
      <c r="E39" s="197" t="s">
        <v>529</v>
      </c>
      <c r="F39" s="197"/>
      <c r="G39" s="197"/>
      <c r="H39" s="197"/>
      <c r="I39" s="197"/>
      <c r="J39" s="197"/>
      <c r="K39" s="197"/>
      <c r="L39" s="197"/>
      <c r="M39" s="197"/>
      <c r="N39" s="197"/>
      <c r="O39" s="198"/>
    </row>
    <row r="40" spans="2:28">
      <c r="B40" s="192"/>
      <c r="C40" s="196"/>
      <c r="D40" s="197"/>
      <c r="E40" s="197" t="s">
        <v>530</v>
      </c>
      <c r="F40" s="197"/>
      <c r="G40" s="197"/>
      <c r="H40" s="197"/>
      <c r="I40" s="197"/>
      <c r="J40" s="197"/>
      <c r="K40" s="197"/>
      <c r="L40" s="197"/>
      <c r="M40" s="197"/>
      <c r="N40" s="197"/>
      <c r="O40" s="198"/>
    </row>
    <row r="41" spans="2:28">
      <c r="B41" s="192"/>
      <c r="C41" s="196"/>
      <c r="D41" s="197"/>
      <c r="E41" s="197" t="s">
        <v>524</v>
      </c>
      <c r="F41" s="197"/>
      <c r="G41" s="197"/>
      <c r="H41" s="197"/>
      <c r="I41" s="197"/>
      <c r="J41" s="197"/>
      <c r="K41" s="197"/>
      <c r="L41" s="197"/>
      <c r="M41" s="197"/>
      <c r="N41" s="197"/>
      <c r="O41" s="198"/>
    </row>
    <row r="42" spans="2:28">
      <c r="B42" s="192"/>
      <c r="C42" s="199"/>
      <c r="D42" s="197"/>
      <c r="E42" s="197" t="s">
        <v>527</v>
      </c>
      <c r="F42" s="197"/>
      <c r="G42" s="197"/>
      <c r="H42" s="197"/>
      <c r="I42" s="197"/>
      <c r="J42" s="197"/>
      <c r="K42" s="197"/>
      <c r="L42" s="197"/>
      <c r="M42" s="197"/>
      <c r="N42" s="197"/>
      <c r="O42" s="198"/>
    </row>
    <row r="43" spans="2:28">
      <c r="B43" s="192"/>
      <c r="C43" s="199"/>
      <c r="D43" s="197"/>
      <c r="E43" s="197" t="s">
        <v>528</v>
      </c>
      <c r="F43" s="197"/>
      <c r="G43" s="197"/>
      <c r="H43" s="197"/>
      <c r="I43" s="197"/>
      <c r="J43" s="197"/>
      <c r="K43" s="197"/>
      <c r="L43" s="197"/>
      <c r="M43" s="197"/>
      <c r="N43" s="197"/>
      <c r="O43" s="198"/>
    </row>
    <row r="44" spans="2:28">
      <c r="B44" s="192"/>
      <c r="C44" s="199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8"/>
    </row>
    <row r="45" spans="2:28">
      <c r="B45" s="192"/>
      <c r="C45" s="196" t="s">
        <v>533</v>
      </c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8"/>
    </row>
    <row r="46" spans="2:28">
      <c r="B46" s="192"/>
      <c r="C46" s="199" t="s">
        <v>534</v>
      </c>
      <c r="D46" s="200" t="s">
        <v>532</v>
      </c>
      <c r="E46" s="287">
        <v>1</v>
      </c>
      <c r="F46" s="287">
        <v>0</v>
      </c>
      <c r="G46" s="287">
        <v>0</v>
      </c>
      <c r="H46" s="287">
        <v>0</v>
      </c>
      <c r="I46" s="287">
        <v>0</v>
      </c>
      <c r="J46" s="287" t="s">
        <v>362</v>
      </c>
      <c r="K46" s="197"/>
      <c r="L46" s="197"/>
      <c r="M46" s="197"/>
      <c r="N46" s="197"/>
      <c r="O46" s="198"/>
    </row>
    <row r="47" spans="2:28">
      <c r="B47" s="192"/>
      <c r="C47" s="199" t="s">
        <v>348</v>
      </c>
      <c r="D47" s="200" t="s">
        <v>532</v>
      </c>
      <c r="E47" s="287">
        <v>1</v>
      </c>
      <c r="F47" s="287">
        <v>0.5</v>
      </c>
      <c r="G47" s="287">
        <v>0.25</v>
      </c>
      <c r="H47" s="287">
        <v>0.125</v>
      </c>
      <c r="I47" s="287">
        <v>0</v>
      </c>
      <c r="J47" s="287" t="s">
        <v>362</v>
      </c>
      <c r="K47" s="197"/>
      <c r="L47" s="197"/>
      <c r="M47" s="197"/>
      <c r="N47" s="197"/>
      <c r="O47" s="198"/>
    </row>
    <row r="48" spans="2:28" ht="15.75" thickBot="1">
      <c r="B48" s="192"/>
      <c r="C48" s="201"/>
      <c r="D48" s="202"/>
      <c r="E48" s="203"/>
      <c r="F48" s="203"/>
      <c r="G48" s="203"/>
      <c r="H48" s="203"/>
      <c r="I48" s="203"/>
      <c r="J48" s="204"/>
      <c r="K48" s="205"/>
      <c r="L48" s="205"/>
      <c r="M48" s="205"/>
      <c r="N48" s="205"/>
      <c r="O48" s="206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5" t="s">
        <v>577</v>
      </c>
      <c r="C50" s="176"/>
      <c r="D50" s="176"/>
      <c r="E50" s="176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2"/>
      <c r="D51" s="192"/>
      <c r="E51" s="192"/>
      <c r="F51" s="192"/>
      <c r="G51" s="192"/>
      <c r="H51" s="192"/>
      <c r="I51" s="207"/>
      <c r="J51" s="130"/>
      <c r="K51" s="130"/>
      <c r="L51" s="130"/>
      <c r="M51" s="130"/>
      <c r="N51" s="130"/>
      <c r="O51" s="130"/>
    </row>
    <row r="52" spans="2:28">
      <c r="B52" s="130"/>
      <c r="C52" s="56" t="s">
        <v>541</v>
      </c>
      <c r="D52" s="130"/>
      <c r="E52" s="130"/>
      <c r="F52" s="157">
        <f>F18</f>
        <v>1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7">
        <f>IF(E54&gt;$F$52,0,1)</f>
        <v>1</v>
      </c>
      <c r="F53" s="177">
        <f t="shared" ref="F53:N53" si="4">IF(F54&gt;$F$52,0,1)</f>
        <v>0</v>
      </c>
      <c r="G53" s="177">
        <f t="shared" si="4"/>
        <v>0</v>
      </c>
      <c r="H53" s="177">
        <f t="shared" si="4"/>
        <v>0</v>
      </c>
      <c r="I53" s="177">
        <f t="shared" si="4"/>
        <v>0</v>
      </c>
      <c r="J53" s="177">
        <f t="shared" si="4"/>
        <v>0</v>
      </c>
      <c r="K53" s="177">
        <f t="shared" si="4"/>
        <v>0</v>
      </c>
      <c r="L53" s="177">
        <f t="shared" si="4"/>
        <v>0</v>
      </c>
      <c r="M53" s="177">
        <f t="shared" si="4"/>
        <v>0</v>
      </c>
      <c r="N53" s="177">
        <f t="shared" si="4"/>
        <v>0</v>
      </c>
      <c r="O53" s="130"/>
    </row>
    <row r="54" spans="2:28" ht="33.75" customHeight="1">
      <c r="B54" s="130"/>
      <c r="C54" s="178" t="s">
        <v>518</v>
      </c>
      <c r="D54" s="179" t="s">
        <v>513</v>
      </c>
      <c r="E54" s="180">
        <v>1</v>
      </c>
      <c r="F54" s="180">
        <v>2</v>
      </c>
      <c r="G54" s="180">
        <v>3</v>
      </c>
      <c r="H54" s="180">
        <v>4</v>
      </c>
      <c r="I54" s="180">
        <v>5</v>
      </c>
      <c r="J54" s="180">
        <v>6</v>
      </c>
      <c r="K54" s="180">
        <v>7</v>
      </c>
      <c r="L54" s="180">
        <v>8</v>
      </c>
      <c r="M54" s="180">
        <v>9</v>
      </c>
      <c r="N54" s="180">
        <v>10</v>
      </c>
      <c r="O54" s="181" t="s">
        <v>143</v>
      </c>
      <c r="W54" s="67"/>
      <c r="X54" s="67"/>
      <c r="Y54" s="67"/>
      <c r="Z54" s="67"/>
      <c r="AA54" s="67"/>
      <c r="AB54" s="67"/>
    </row>
    <row r="55" spans="2:28">
      <c r="B55" s="182"/>
      <c r="C55" s="183" t="s">
        <v>525</v>
      </c>
      <c r="D55" s="153" t="s">
        <v>515</v>
      </c>
      <c r="E55" s="280">
        <f>1-SUMPRODUCT(F53:N53,F55:N55)</f>
        <v>1</v>
      </c>
      <c r="F55" s="280">
        <f>ROUND(F56/$D$56,4)</f>
        <v>1</v>
      </c>
      <c r="G55" s="280">
        <f t="shared" ref="G55:N55" si="5">ROUND(G56/$D$56,4)</f>
        <v>0</v>
      </c>
      <c r="H55" s="280">
        <f t="shared" si="5"/>
        <v>0</v>
      </c>
      <c r="I55" s="280">
        <f t="shared" si="5"/>
        <v>0</v>
      </c>
      <c r="J55" s="280">
        <f t="shared" si="5"/>
        <v>0</v>
      </c>
      <c r="K55" s="280">
        <f t="shared" si="5"/>
        <v>0</v>
      </c>
      <c r="L55" s="280">
        <f t="shared" si="5"/>
        <v>0</v>
      </c>
      <c r="M55" s="280">
        <f t="shared" si="5"/>
        <v>0</v>
      </c>
      <c r="N55" s="280">
        <f t="shared" si="5"/>
        <v>0</v>
      </c>
      <c r="O55" s="184"/>
      <c r="W55" s="67"/>
      <c r="X55" s="67"/>
      <c r="Y55" s="67"/>
      <c r="Z55" s="67"/>
      <c r="AA55" s="67"/>
      <c r="AB55" s="67"/>
    </row>
    <row r="56" spans="2:28">
      <c r="B56" s="182"/>
      <c r="C56" s="183" t="s">
        <v>535</v>
      </c>
      <c r="D56" s="185">
        <f>SUMPRODUCT(E56:N56,E53:N53)</f>
        <v>1</v>
      </c>
      <c r="E56" s="281">
        <f>E22</f>
        <v>1</v>
      </c>
      <c r="F56" s="281">
        <f t="shared" ref="F56:N56" si="6">F22</f>
        <v>1</v>
      </c>
      <c r="G56" s="281">
        <f t="shared" si="6"/>
        <v>0</v>
      </c>
      <c r="H56" s="281">
        <f t="shared" si="6"/>
        <v>0</v>
      </c>
      <c r="I56" s="281">
        <f t="shared" si="6"/>
        <v>0</v>
      </c>
      <c r="J56" s="281">
        <f t="shared" si="6"/>
        <v>0</v>
      </c>
      <c r="K56" s="281">
        <f t="shared" si="6"/>
        <v>0</v>
      </c>
      <c r="L56" s="281">
        <f t="shared" si="6"/>
        <v>0</v>
      </c>
      <c r="M56" s="281">
        <f t="shared" si="6"/>
        <v>0</v>
      </c>
      <c r="N56" s="281">
        <f t="shared" si="6"/>
        <v>0</v>
      </c>
      <c r="O56" s="184" t="s">
        <v>144</v>
      </c>
      <c r="W56" s="67"/>
      <c r="X56" s="67"/>
      <c r="Y56" s="67"/>
      <c r="Z56" s="67"/>
      <c r="AA56" s="67"/>
      <c r="AB56" s="67"/>
    </row>
    <row r="57" spans="2:28">
      <c r="B57" s="182"/>
      <c r="C57" s="186" t="s">
        <v>136</v>
      </c>
      <c r="D57" s="187"/>
      <c r="E57" s="156" t="s">
        <v>502</v>
      </c>
      <c r="F57" s="156" t="str">
        <f t="shared" ref="F57:N57" si="7">F23</f>
        <v>Meteomedia</v>
      </c>
      <c r="G57" s="156" t="str">
        <f t="shared" si="7"/>
        <v>DWD</v>
      </c>
      <c r="H57" s="156" t="str">
        <f t="shared" si="7"/>
        <v>DWD</v>
      </c>
      <c r="I57" s="156" t="str">
        <f t="shared" si="7"/>
        <v>DWD</v>
      </c>
      <c r="J57" s="156" t="str">
        <f t="shared" si="7"/>
        <v>DWD</v>
      </c>
      <c r="K57" s="156" t="str">
        <f t="shared" si="7"/>
        <v>DWD</v>
      </c>
      <c r="L57" s="156" t="str">
        <f t="shared" si="7"/>
        <v>DWD</v>
      </c>
      <c r="M57" s="156" t="str">
        <f t="shared" si="7"/>
        <v>DWD</v>
      </c>
      <c r="N57" s="156" t="str">
        <f t="shared" si="7"/>
        <v>DWD</v>
      </c>
      <c r="O57" s="184" t="s">
        <v>141</v>
      </c>
      <c r="W57" s="67"/>
      <c r="X57" s="67"/>
      <c r="Y57" s="67"/>
      <c r="Z57" s="67"/>
      <c r="AA57" s="67"/>
      <c r="AB57" s="67"/>
    </row>
    <row r="58" spans="2:28">
      <c r="B58" s="182"/>
      <c r="C58" s="186" t="s">
        <v>520</v>
      </c>
      <c r="D58" s="187"/>
      <c r="E58" s="156" t="str">
        <f>E24</f>
        <v>Düren</v>
      </c>
      <c r="F58" s="156" t="str">
        <f t="shared" ref="F58:N58" si="8">F24</f>
        <v>DEF-St.</v>
      </c>
      <c r="G58" s="156">
        <f t="shared" si="8"/>
        <v>0</v>
      </c>
      <c r="H58" s="156">
        <f t="shared" si="8"/>
        <v>0</v>
      </c>
      <c r="I58" s="156">
        <f t="shared" si="8"/>
        <v>0</v>
      </c>
      <c r="J58" s="156">
        <f t="shared" si="8"/>
        <v>0</v>
      </c>
      <c r="K58" s="156">
        <f t="shared" si="8"/>
        <v>0</v>
      </c>
      <c r="L58" s="156">
        <f t="shared" si="8"/>
        <v>0</v>
      </c>
      <c r="M58" s="156">
        <f t="shared" si="8"/>
        <v>0</v>
      </c>
      <c r="N58" s="156">
        <f t="shared" si="8"/>
        <v>0</v>
      </c>
      <c r="O58" s="184" t="s">
        <v>521</v>
      </c>
      <c r="W58" s="67"/>
      <c r="X58" s="67"/>
      <c r="Y58" s="67"/>
      <c r="Z58" s="67"/>
      <c r="AA58" s="67"/>
      <c r="AB58" s="67"/>
    </row>
    <row r="59" spans="2:28">
      <c r="B59" s="182"/>
      <c r="C59" s="186" t="s">
        <v>514</v>
      </c>
      <c r="D59" s="187"/>
      <c r="E59" s="160">
        <f>E25</f>
        <v>95040</v>
      </c>
      <c r="F59" s="160" t="str">
        <f t="shared" ref="F59:N59" si="9">F25</f>
        <v>xxxxx</v>
      </c>
      <c r="G59" s="160">
        <f t="shared" si="9"/>
        <v>0</v>
      </c>
      <c r="H59" s="160">
        <f t="shared" si="9"/>
        <v>0</v>
      </c>
      <c r="I59" s="160">
        <f t="shared" si="9"/>
        <v>0</v>
      </c>
      <c r="J59" s="160">
        <f t="shared" si="9"/>
        <v>0</v>
      </c>
      <c r="K59" s="160">
        <f t="shared" si="9"/>
        <v>0</v>
      </c>
      <c r="L59" s="160">
        <f t="shared" si="9"/>
        <v>0</v>
      </c>
      <c r="M59" s="160">
        <f t="shared" si="9"/>
        <v>0</v>
      </c>
      <c r="N59" s="160">
        <f t="shared" si="9"/>
        <v>0</v>
      </c>
      <c r="O59" s="184" t="s">
        <v>142</v>
      </c>
      <c r="W59" s="67"/>
      <c r="X59" s="67"/>
      <c r="Y59" s="67"/>
      <c r="Z59" s="67"/>
      <c r="AA59" s="67"/>
      <c r="AB59" s="67"/>
    </row>
    <row r="60" spans="2:28">
      <c r="B60" s="182"/>
      <c r="C60" s="186" t="s">
        <v>140</v>
      </c>
      <c r="D60" s="187"/>
      <c r="E60" s="158" t="str">
        <f>E26</f>
        <v>Temp. (2m)</v>
      </c>
      <c r="F60" s="158" t="str">
        <f t="shared" ref="F60:N60" si="10">F26</f>
        <v>Temp. (2m)</v>
      </c>
      <c r="G60" s="158">
        <f t="shared" si="10"/>
        <v>0</v>
      </c>
      <c r="H60" s="158">
        <f t="shared" si="10"/>
        <v>0</v>
      </c>
      <c r="I60" s="158">
        <f t="shared" si="10"/>
        <v>0</v>
      </c>
      <c r="J60" s="158">
        <f t="shared" si="10"/>
        <v>0</v>
      </c>
      <c r="K60" s="158">
        <f t="shared" si="10"/>
        <v>0</v>
      </c>
      <c r="L60" s="158">
        <f t="shared" si="10"/>
        <v>0</v>
      </c>
      <c r="M60" s="158">
        <f t="shared" si="10"/>
        <v>0</v>
      </c>
      <c r="N60" s="158">
        <f t="shared" si="10"/>
        <v>0</v>
      </c>
      <c r="O60" s="184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6" t="s">
        <v>519</v>
      </c>
      <c r="D62" s="130"/>
      <c r="E62" s="130"/>
      <c r="F62" s="157">
        <v>1</v>
      </c>
    </row>
    <row r="63" spans="2:28" ht="15" customHeight="1">
      <c r="E63" s="177">
        <f>IF(E64&gt;$F$62,0,1)</f>
        <v>1</v>
      </c>
      <c r="F63" s="177">
        <f t="shared" ref="F63:N63" si="11">IF(F64&gt;$F$62,0,1)</f>
        <v>0</v>
      </c>
      <c r="G63" s="177">
        <f t="shared" si="11"/>
        <v>0</v>
      </c>
      <c r="H63" s="177">
        <f t="shared" si="11"/>
        <v>0</v>
      </c>
      <c r="I63" s="177">
        <f t="shared" si="11"/>
        <v>0</v>
      </c>
      <c r="J63" s="177">
        <f t="shared" si="11"/>
        <v>0</v>
      </c>
      <c r="K63" s="177">
        <f t="shared" si="11"/>
        <v>0</v>
      </c>
      <c r="L63" s="177">
        <f t="shared" si="11"/>
        <v>0</v>
      </c>
      <c r="M63" s="177">
        <f t="shared" si="11"/>
        <v>0</v>
      </c>
      <c r="N63" s="177">
        <f t="shared" si="11"/>
        <v>0</v>
      </c>
    </row>
    <row r="64" spans="2:28" ht="18" customHeight="1">
      <c r="B64" s="130"/>
      <c r="C64" s="178" t="s">
        <v>139</v>
      </c>
      <c r="D64" s="179" t="s">
        <v>254</v>
      </c>
      <c r="E64" s="190">
        <v>1</v>
      </c>
      <c r="F64" s="190">
        <v>2</v>
      </c>
      <c r="G64" s="190">
        <v>3</v>
      </c>
      <c r="H64" s="190">
        <v>4</v>
      </c>
      <c r="I64" s="190">
        <v>5</v>
      </c>
      <c r="J64" s="190">
        <v>6</v>
      </c>
      <c r="K64" s="190">
        <v>7</v>
      </c>
      <c r="L64" s="190">
        <v>8</v>
      </c>
      <c r="M64" s="190">
        <v>9</v>
      </c>
      <c r="N64" s="190">
        <v>10</v>
      </c>
      <c r="O64" s="181" t="s">
        <v>143</v>
      </c>
    </row>
    <row r="65" spans="2:15">
      <c r="B65" s="182"/>
      <c r="C65" s="183" t="s">
        <v>526</v>
      </c>
      <c r="D65" s="185" t="s">
        <v>253</v>
      </c>
      <c r="E65" s="280">
        <f>1-SUMPRODUCT(F63:N63,F65:N65)</f>
        <v>1</v>
      </c>
      <c r="F65" s="280">
        <f>ROUND(F66/$D$66,4)</f>
        <v>0.5</v>
      </c>
      <c r="G65" s="280">
        <f t="shared" ref="G65:N65" si="12">ROUND(G66/$D$66,4)</f>
        <v>0.25</v>
      </c>
      <c r="H65" s="280">
        <f t="shared" si="12"/>
        <v>0.125</v>
      </c>
      <c r="I65" s="280">
        <f t="shared" si="12"/>
        <v>0</v>
      </c>
      <c r="J65" s="280">
        <f t="shared" si="12"/>
        <v>0</v>
      </c>
      <c r="K65" s="280">
        <f t="shared" si="12"/>
        <v>0</v>
      </c>
      <c r="L65" s="280">
        <f t="shared" si="12"/>
        <v>0</v>
      </c>
      <c r="M65" s="280">
        <f t="shared" si="12"/>
        <v>0</v>
      </c>
      <c r="N65" s="280">
        <f t="shared" si="12"/>
        <v>0</v>
      </c>
      <c r="O65" s="184"/>
    </row>
    <row r="66" spans="2:15">
      <c r="B66" s="182"/>
      <c r="C66" s="183" t="s">
        <v>531</v>
      </c>
      <c r="D66" s="185">
        <f>SUMPRODUCT(E66:N66,E63:N63)</f>
        <v>1</v>
      </c>
      <c r="E66" s="288">
        <f>E32</f>
        <v>1</v>
      </c>
      <c r="F66" s="288">
        <f t="shared" ref="F66:N66" si="13">F32</f>
        <v>0.5</v>
      </c>
      <c r="G66" s="288">
        <f t="shared" si="13"/>
        <v>0.25</v>
      </c>
      <c r="H66" s="288">
        <f t="shared" si="13"/>
        <v>0.125</v>
      </c>
      <c r="I66" s="288">
        <f t="shared" si="13"/>
        <v>0</v>
      </c>
      <c r="J66" s="288">
        <f t="shared" si="13"/>
        <v>0</v>
      </c>
      <c r="K66" s="288">
        <f t="shared" si="13"/>
        <v>0</v>
      </c>
      <c r="L66" s="288">
        <f t="shared" si="13"/>
        <v>0</v>
      </c>
      <c r="M66" s="288">
        <f t="shared" si="13"/>
        <v>0</v>
      </c>
      <c r="N66" s="288">
        <f t="shared" si="13"/>
        <v>0</v>
      </c>
      <c r="O66" s="184" t="s">
        <v>144</v>
      </c>
    </row>
    <row r="67" spans="2:15">
      <c r="B67" s="182"/>
      <c r="C67" s="186" t="s">
        <v>361</v>
      </c>
      <c r="D67" s="153" t="s">
        <v>360</v>
      </c>
      <c r="E67" s="156" t="str">
        <f>E33</f>
        <v>D</v>
      </c>
      <c r="F67" s="156" t="str">
        <f t="shared" ref="F67:N67" si="14">F33</f>
        <v>D-1</v>
      </c>
      <c r="G67" s="156" t="str">
        <f t="shared" si="14"/>
        <v>D-2</v>
      </c>
      <c r="H67" s="156" t="str">
        <f t="shared" si="14"/>
        <v>D-3</v>
      </c>
      <c r="I67" s="156">
        <f t="shared" si="14"/>
        <v>0</v>
      </c>
      <c r="J67" s="156">
        <f t="shared" si="14"/>
        <v>0</v>
      </c>
      <c r="K67" s="156">
        <f t="shared" si="14"/>
        <v>0</v>
      </c>
      <c r="L67" s="156">
        <f t="shared" si="14"/>
        <v>0</v>
      </c>
      <c r="M67" s="156">
        <f t="shared" si="14"/>
        <v>0</v>
      </c>
      <c r="N67" s="156">
        <f t="shared" si="14"/>
        <v>0</v>
      </c>
      <c r="O67" s="184" t="s">
        <v>141</v>
      </c>
    </row>
    <row r="68" spans="2:15">
      <c r="B68" s="182"/>
      <c r="C68" s="186" t="s">
        <v>451</v>
      </c>
      <c r="D68" s="153" t="s">
        <v>450</v>
      </c>
      <c r="E68" s="159" t="str">
        <f>E34</f>
        <v>Gastag</v>
      </c>
      <c r="F68" s="159" t="s">
        <v>511</v>
      </c>
      <c r="G68" s="159" t="str">
        <f t="shared" ref="G68:N68" si="15">G34</f>
        <v>Gastag</v>
      </c>
      <c r="H68" s="159" t="str">
        <f t="shared" si="15"/>
        <v>Gastag</v>
      </c>
      <c r="I68" s="162">
        <f t="shared" si="15"/>
        <v>0</v>
      </c>
      <c r="J68" s="162">
        <f t="shared" si="15"/>
        <v>0</v>
      </c>
      <c r="K68" s="162">
        <f t="shared" si="15"/>
        <v>0</v>
      </c>
      <c r="L68" s="162">
        <f t="shared" si="15"/>
        <v>0</v>
      </c>
      <c r="M68" s="162">
        <f t="shared" si="15"/>
        <v>0</v>
      </c>
      <c r="N68" s="162">
        <f t="shared" si="15"/>
        <v>0</v>
      </c>
      <c r="O68" s="184" t="s">
        <v>141</v>
      </c>
    </row>
    <row r="69" spans="2:15">
      <c r="B69" s="182"/>
      <c r="C69" s="186" t="s">
        <v>602</v>
      </c>
      <c r="D69" s="153" t="s">
        <v>603</v>
      </c>
      <c r="E69" s="159" t="str">
        <f>E35</f>
        <v>CET/CEST</v>
      </c>
      <c r="F69" s="159" t="str">
        <f t="shared" ref="F69:N69" si="16">F35</f>
        <v>CET/CEST</v>
      </c>
      <c r="G69" s="159" t="str">
        <f t="shared" si="16"/>
        <v>CET/CEST</v>
      </c>
      <c r="H69" s="159" t="str">
        <f t="shared" si="16"/>
        <v>CET/CEST</v>
      </c>
      <c r="I69" s="162" t="str">
        <f t="shared" si="16"/>
        <v>CET/CEST</v>
      </c>
      <c r="J69" s="162" t="str">
        <f t="shared" si="16"/>
        <v>CET/CEST</v>
      </c>
      <c r="K69" s="162" t="str">
        <f t="shared" si="16"/>
        <v>CET/CEST</v>
      </c>
      <c r="L69" s="162" t="str">
        <f t="shared" si="16"/>
        <v>CET/CEST</v>
      </c>
      <c r="M69" s="162" t="str">
        <f t="shared" si="16"/>
        <v>CET/CEST</v>
      </c>
      <c r="N69" s="162" t="str">
        <f t="shared" si="16"/>
        <v>CET/CEST</v>
      </c>
      <c r="O69" s="184" t="s">
        <v>141</v>
      </c>
    </row>
    <row r="70" spans="2:15">
      <c r="B70" s="182"/>
      <c r="C70" s="191" t="s">
        <v>443</v>
      </c>
      <c r="D70" s="119" t="s">
        <v>536</v>
      </c>
      <c r="E70" s="163" t="s">
        <v>452</v>
      </c>
      <c r="F70" s="163" t="s">
        <v>452</v>
      </c>
      <c r="G70" s="163" t="str">
        <f t="shared" ref="G70:N70" si="17">G36</f>
        <v>Temp.-IST</v>
      </c>
      <c r="H70" s="163" t="str">
        <f t="shared" si="17"/>
        <v>Temp.-IST</v>
      </c>
      <c r="I70" s="163">
        <f t="shared" si="17"/>
        <v>0</v>
      </c>
      <c r="J70" s="163">
        <f t="shared" si="17"/>
        <v>0</v>
      </c>
      <c r="K70" s="163">
        <f t="shared" si="17"/>
        <v>0</v>
      </c>
      <c r="L70" s="163">
        <f t="shared" si="17"/>
        <v>0</v>
      </c>
      <c r="M70" s="163">
        <f t="shared" si="17"/>
        <v>0</v>
      </c>
      <c r="N70" s="163">
        <f t="shared" si="17"/>
        <v>0</v>
      </c>
      <c r="O70" s="184" t="s">
        <v>141</v>
      </c>
    </row>
    <row r="71" spans="2:15"/>
    <row r="72" spans="2:15" ht="15.75" customHeight="1">
      <c r="C72" s="342" t="s">
        <v>578</v>
      </c>
      <c r="D72" s="342"/>
      <c r="E72" s="342"/>
      <c r="F72" s="34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0" priority="28">
      <formula>IF(E$20&lt;=$F$18,1,0)</formula>
    </cfRule>
  </conditionalFormatting>
  <conditionalFormatting sqref="E32:N36">
    <cfRule type="expression" dxfId="29" priority="27">
      <formula>IF(E$30&lt;=$F$28,1,0)</formula>
    </cfRule>
  </conditionalFormatting>
  <conditionalFormatting sqref="E26:F26">
    <cfRule type="expression" dxfId="28" priority="26">
      <formula>IF(E$20&lt;=$F$18,1,0)</formula>
    </cfRule>
  </conditionalFormatting>
  <conditionalFormatting sqref="E26:N26">
    <cfRule type="expression" dxfId="27" priority="25">
      <formula>IF(E$20&lt;=$F$18,1,0)</formula>
    </cfRule>
  </conditionalFormatting>
  <conditionalFormatting sqref="E56:N59">
    <cfRule type="expression" dxfId="26" priority="22">
      <formula>IF(E$54&lt;=$F$52,1,0)</formula>
    </cfRule>
  </conditionalFormatting>
  <conditionalFormatting sqref="E60:N60">
    <cfRule type="expression" dxfId="25" priority="21">
      <formula>IF(E$54&lt;=$F$52,1,0)</formula>
    </cfRule>
  </conditionalFormatting>
  <conditionalFormatting sqref="E66:N68">
    <cfRule type="expression" dxfId="24" priority="15">
      <formula>IF(E$64&lt;=$F$62,1,0)</formula>
    </cfRule>
  </conditionalFormatting>
  <conditionalFormatting sqref="E70:N70 E65:N68">
    <cfRule type="expression" dxfId="23" priority="13">
      <formula>IF(E$64&gt;$F$62,1,0)</formula>
    </cfRule>
  </conditionalFormatting>
  <conditionalFormatting sqref="E56:N60">
    <cfRule type="expression" dxfId="22" priority="12">
      <formula>IF(E$54&gt;$F$52,1,0)</formula>
    </cfRule>
  </conditionalFormatting>
  <conditionalFormatting sqref="E21:N26">
    <cfRule type="expression" dxfId="21" priority="11">
      <formula>IF(E$20&gt;$F$18,1,0)</formula>
    </cfRule>
  </conditionalFormatting>
  <conditionalFormatting sqref="E32:N36">
    <cfRule type="expression" dxfId="20" priority="10">
      <formula>IF(E$30&gt;$F$28,1,0)</formula>
    </cfRule>
  </conditionalFormatting>
  <conditionalFormatting sqref="H11 H8:H9">
    <cfRule type="expression" dxfId="19" priority="9">
      <formula>IF($F$9=1,1,0)</formula>
    </cfRule>
  </conditionalFormatting>
  <conditionalFormatting sqref="E55:N55">
    <cfRule type="expression" dxfId="18" priority="8">
      <formula>IF(E$54&gt;$F$52,1,0)</formula>
    </cfRule>
  </conditionalFormatting>
  <conditionalFormatting sqref="E31:N31">
    <cfRule type="expression" dxfId="17" priority="7">
      <formula>IF(E$30&gt;$F$28,1,0)</formula>
    </cfRule>
  </conditionalFormatting>
  <conditionalFormatting sqref="E70:N70">
    <cfRule type="expression" dxfId="16" priority="6">
      <formula>IF(E$64&lt;=$F$62,1,0)</formula>
    </cfRule>
  </conditionalFormatting>
  <conditionalFormatting sqref="H10">
    <cfRule type="expression" dxfId="15" priority="5">
      <formula>IF($F$9=1,1,0)</formula>
    </cfRule>
  </conditionalFormatting>
  <conditionalFormatting sqref="E69:N69">
    <cfRule type="expression" dxfId="14" priority="2">
      <formula>IF(E$64&lt;=$F$62,1,0)</formula>
    </cfRule>
  </conditionalFormatting>
  <conditionalFormatting sqref="E69:N69">
    <cfRule type="expression" dxfId="13" priority="1">
      <formula>IF(E$64&gt;$F$62,1,0)</formula>
    </cfRule>
  </conditionalFormatting>
  <dataValidations count="13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6:N36 E70:N70" xr:uid="{00000000-0002-0000-0300-000001000000}">
      <formula1>$R$36:$S$36</formula1>
    </dataValidation>
    <dataValidation type="list" allowBlank="1" showInputMessage="1" showErrorMessage="1" sqref="E26:N26 E60:N60" xr:uid="{00000000-0002-0000-0300-000002000000}">
      <formula1>$R$26:$S$26</formula1>
    </dataValidation>
    <dataValidation type="list" allowBlank="1" showInputMessage="1" showErrorMessage="1" errorTitle="Prognosezeitraum" error="Werte zwischen 0 - 240h" sqref="E33:N33 E67:N67" xr:uid="{00000000-0002-0000-0300-000003000000}">
      <formula1>$R$33:$AB$33</formula1>
    </dataValidation>
    <dataValidation type="list" allowBlank="1" showInputMessage="1" showErrorMessage="1" sqref="E34:N34 E68:N68" xr:uid="{00000000-0002-0000-0300-000004000000}">
      <formula1>$R$34:$S$34</formula1>
    </dataValidation>
    <dataValidation type="list" allowBlank="1" showInputMessage="1" showErrorMessage="1" sqref="E23:N23 E57:N57" xr:uid="{00000000-0002-0000-0300-000005000000}">
      <formula1>$R$23:$T$23</formula1>
    </dataValidation>
    <dataValidation type="list" allowBlank="1" showInputMessage="1" showErrorMessage="1" sqref="F52" xr:uid="{00000000-0002-0000-0300-000006000000}">
      <formula1>$E$54:$N$54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8" xr:uid="{00000000-0002-0000-0300-000008000000}">
      <formula1>$E$30:$N$30</formula1>
    </dataValidation>
    <dataValidation type="list" allowBlank="1" showInputMessage="1" showErrorMessage="1" sqref="F62" xr:uid="{00000000-0002-0000-0300-000009000000}">
      <formula1>$E$64:$N$64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5:N35 E69:N69" xr:uid="{00000000-0002-0000-0300-00000C000000}">
      <formula1>$R$35:$S$35</formula1>
    </dataValidation>
  </dataValidations>
  <pageMargins left="0.25" right="0.25" top="0.75" bottom="0.75" header="0.3" footer="0.3"/>
  <pageSetup paperSize="9" scale="43" orientation="landscape" r:id="rId1"/>
  <ignoredErrors>
    <ignoredError sqref="E66:N67 E36:N36 E26:N26 E56:N56 E22:F22 I22:N22 F52 G24:N24 G70:N70 E32:N34 E69:N69 F25:N25 E68 G68:N68 E58:N60 F57:N57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 L-Gas'!$H$47:$V$47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3">
    <tabColor rgb="FFFFFF00"/>
    <pageSetUpPr fitToPage="1"/>
  </sheetPr>
  <dimension ref="A1:Z59"/>
  <sheetViews>
    <sheetView showGridLines="0" topLeftCell="A9" zoomScale="80" zoomScaleNormal="80" workbookViewId="0">
      <selection activeCell="I37" sqref="I37"/>
    </sheetView>
  </sheetViews>
  <sheetFormatPr baseColWidth="10" defaultColWidth="0" defaultRowHeight="15" zeroHeight="1"/>
  <cols>
    <col min="1" max="1" width="2.855468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7" style="128" customWidth="1"/>
    <col min="13" max="16" width="12.7109375" style="128" customWidth="1"/>
    <col min="17" max="17" width="14.140625" style="128" customWidth="1"/>
    <col min="18" max="24" width="11.42578125" style="128" customWidth="1"/>
    <col min="25" max="25" width="20.140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364</v>
      </c>
    </row>
    <row r="3" spans="2:26">
      <c r="B3" s="130" t="s">
        <v>466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3" t="s">
        <v>369</v>
      </c>
      <c r="D5" s="54" t="str">
        <f>Netzbetreiber!$D$9</f>
        <v>Leitungspartner GmbH</v>
      </c>
      <c r="E5" s="130"/>
      <c r="J5" s="88" t="s">
        <v>497</v>
      </c>
      <c r="K5" s="131" t="s">
        <v>500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3" t="s">
        <v>336</v>
      </c>
      <c r="D6" s="54" t="str">
        <f>Netzbetreiber!$D$28</f>
        <v>Netzgebiet Leitungspartner</v>
      </c>
      <c r="E6" s="130"/>
      <c r="F6" s="130"/>
      <c r="K6" s="131" t="s">
        <v>508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5" t="s">
        <v>487</v>
      </c>
      <c r="D7" s="54" t="str">
        <f>Netzbetreiber!$D$11</f>
        <v>9870116800003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3" t="s">
        <v>132</v>
      </c>
      <c r="D8" s="52">
        <f>Netzbetreiber!$D$6</f>
        <v>44470</v>
      </c>
      <c r="E8" s="130"/>
      <c r="F8" s="130"/>
      <c r="H8" s="128" t="s">
        <v>495</v>
      </c>
      <c r="J8" s="132">
        <f>COUNTA(D12:D100)</f>
        <v>24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247</v>
      </c>
      <c r="C10" s="135" t="s">
        <v>494</v>
      </c>
      <c r="D10" s="134" t="s">
        <v>146</v>
      </c>
      <c r="E10" s="273" t="s">
        <v>510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632</v>
      </c>
      <c r="M10" s="150" t="s">
        <v>641</v>
      </c>
      <c r="N10" s="151" t="s">
        <v>642</v>
      </c>
      <c r="O10" s="151" t="s">
        <v>643</v>
      </c>
      <c r="P10" s="152" t="s">
        <v>644</v>
      </c>
      <c r="Q10" s="146" t="s">
        <v>633</v>
      </c>
      <c r="R10" s="136" t="s">
        <v>634</v>
      </c>
      <c r="S10" s="137" t="s">
        <v>635</v>
      </c>
      <c r="T10" s="137" t="s">
        <v>636</v>
      </c>
      <c r="U10" s="137" t="s">
        <v>637</v>
      </c>
      <c r="V10" s="137" t="s">
        <v>638</v>
      </c>
      <c r="W10" s="137" t="s">
        <v>639</v>
      </c>
      <c r="X10" s="138" t="s">
        <v>640</v>
      </c>
      <c r="Y10" s="294" t="s">
        <v>645</v>
      </c>
    </row>
    <row r="11" spans="2:26" ht="15.75" thickBot="1">
      <c r="B11" s="139" t="s">
        <v>496</v>
      </c>
      <c r="C11" s="140" t="s">
        <v>509</v>
      </c>
      <c r="D11" s="293" t="s">
        <v>246</v>
      </c>
      <c r="E11" s="164" t="s">
        <v>516</v>
      </c>
      <c r="F11" s="295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335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336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291">
        <v>365.12299999999999</v>
      </c>
    </row>
    <row r="12" spans="2:26">
      <c r="B12" s="141">
        <v>1</v>
      </c>
      <c r="C12" s="142" t="str">
        <f t="shared" ref="C12:C41" si="0">$D$6</f>
        <v>Netzgebiet Leitungspartner</v>
      </c>
      <c r="D12" s="62" t="s">
        <v>246</v>
      </c>
      <c r="E12" s="165" t="s">
        <v>653</v>
      </c>
      <c r="F12" s="296" t="str">
        <f>VLOOKUP($E12,'BDEW-Standard'!$B$3:$M$158,F$9,0)</f>
        <v>BA4</v>
      </c>
      <c r="H12" s="274">
        <f>ROUND(VLOOKUP($E12,'BDEW-Standard'!$B$3:$M$94,H$9,0),7)</f>
        <v>0.93158890000000005</v>
      </c>
      <c r="I12" s="274">
        <f>ROUND(VLOOKUP($E12,'BDEW-Standard'!$B$3:$M$94,I$9,0),7)</f>
        <v>-33.35</v>
      </c>
      <c r="J12" s="274">
        <f>ROUND(VLOOKUP($E12,'BDEW-Standard'!$B$3:$M$94,J$9,0),7)</f>
        <v>5.7212303000000002</v>
      </c>
      <c r="K12" s="274">
        <f>ROUND(VLOOKUP($E12,'BDEW-Standard'!$B$3:$M$94,K$9,0),7)</f>
        <v>0.66564939999999995</v>
      </c>
      <c r="L12" s="337">
        <f>ROUND(VLOOKUP($E12,'BDEW-Standard'!$B$3:$M$94,L$9,0),1)</f>
        <v>40</v>
      </c>
      <c r="M12" s="274">
        <f>ROUND(VLOOKUP($E12,'BDEW-Standard'!$B$3:$M$158,M$9,0),7)</f>
        <v>0</v>
      </c>
      <c r="N12" s="274">
        <f>ROUND(VLOOKUP($E12,'BDEW-Standard'!$B$3:$M$158,N$9,0),7)</f>
        <v>0</v>
      </c>
      <c r="O12" s="274">
        <f>ROUND(VLOOKUP($E12,'BDEW-Standard'!$B$3:$M$158,O$9,0),7)</f>
        <v>0</v>
      </c>
      <c r="P12" s="274">
        <f>ROUND(VLOOKUP($E12,'BDEW-Standard'!$B$3:$M$158,P$9,0),7)</f>
        <v>0</v>
      </c>
      <c r="Q12" s="338">
        <f t="shared" ref="Q12:Q35" si="1">($H12/(1+($I12/($Q$9-$L12))^$J12)+$K12)+MAX($M12*$Q$9+$N12,$O12*$Q$9+$P12)</f>
        <v>1.0766391850538448</v>
      </c>
      <c r="R12" s="275">
        <f>ROUND(VLOOKUP(MID($E12,4,3),'Wochentag F(WT)'!$B$7:$J$22,R$9,0),4)</f>
        <v>1.0848</v>
      </c>
      <c r="S12" s="275">
        <f>ROUND(VLOOKUP(MID($E12,4,3),'Wochentag F(WT)'!$B$7:$J$22,S$9,0),4)</f>
        <v>1.1211</v>
      </c>
      <c r="T12" s="275">
        <f>ROUND(VLOOKUP(MID($E12,4,3),'Wochentag F(WT)'!$B$7:$J$22,T$9,0),4)</f>
        <v>1.0769</v>
      </c>
      <c r="U12" s="275">
        <f>ROUND(VLOOKUP(MID($E12,4,3),'Wochentag F(WT)'!$B$7:$J$22,U$9,0),4)</f>
        <v>1.1353</v>
      </c>
      <c r="V12" s="275">
        <f>ROUND(VLOOKUP(MID($E12,4,3),'Wochentag F(WT)'!$B$7:$J$22,V$9,0),4)</f>
        <v>1.1402000000000001</v>
      </c>
      <c r="W12" s="275">
        <f>ROUND(VLOOKUP(MID($E12,4,3),'Wochentag F(WT)'!$B$7:$J$22,W$9,0),4)</f>
        <v>0.48520000000000002</v>
      </c>
      <c r="X12" s="276">
        <f>7-SUM(R12:W12)</f>
        <v>0.95650000000000013</v>
      </c>
      <c r="Y12" s="292"/>
      <c r="Z12" s="211"/>
    </row>
    <row r="13" spans="2:26" s="143" customFormat="1">
      <c r="B13" s="144">
        <v>2</v>
      </c>
      <c r="C13" s="145" t="str">
        <f t="shared" si="0"/>
        <v>Netzgebiet Leitungspartner</v>
      </c>
      <c r="D13" s="62" t="s">
        <v>246</v>
      </c>
      <c r="E13" s="165" t="s">
        <v>661</v>
      </c>
      <c r="F13" s="296" t="str">
        <f>VLOOKUP($E13,'BDEW-Standard'!$B$3:$M$158,F$9,0)</f>
        <v>BD4</v>
      </c>
      <c r="H13" s="274">
        <f>ROUND(VLOOKUP($E13,'BDEW-Standard'!$B$3:$M$94,H$9,0),7)</f>
        <v>3.75</v>
      </c>
      <c r="I13" s="274">
        <f>ROUND(VLOOKUP($E13,'BDEW-Standard'!$B$3:$M$94,I$9,0),7)</f>
        <v>-37.5</v>
      </c>
      <c r="J13" s="274">
        <f>ROUND(VLOOKUP($E13,'BDEW-Standard'!$B$3:$M$94,J$9,0),7)</f>
        <v>6.8</v>
      </c>
      <c r="K13" s="274">
        <f>ROUND(VLOOKUP($E13,'BDEW-Standard'!$B$3:$M$94,K$9,0),7)</f>
        <v>6.0911300000000002E-2</v>
      </c>
      <c r="L13" s="337">
        <f>ROUND(VLOOKUP($E13,'BDEW-Standard'!$B$3:$M$94,L$9,0),1)</f>
        <v>40</v>
      </c>
      <c r="M13" s="274">
        <f>ROUND(VLOOKUP($E13,'BDEW-Standard'!$B$3:$M$158,M$9,0),7)</f>
        <v>0</v>
      </c>
      <c r="N13" s="274">
        <f>ROUND(VLOOKUP($E13,'BDEW-Standard'!$B$3:$M$158,N$9,0),7)</f>
        <v>0</v>
      </c>
      <c r="O13" s="274">
        <f>ROUND(VLOOKUP($E13,'BDEW-Standard'!$B$3:$M$158,O$9,0),7)</f>
        <v>0</v>
      </c>
      <c r="P13" s="274">
        <f>ROUND(VLOOKUP($E13,'BDEW-Standard'!$B$3:$M$158,P$9,0),7)</f>
        <v>0</v>
      </c>
      <c r="Q13" s="338">
        <f t="shared" si="1"/>
        <v>1.0126136468627658</v>
      </c>
      <c r="R13" s="275">
        <f>ROUND(VLOOKUP(MID($E13,4,3),'Wochentag F(WT)'!$B$7:$J$22,R$9,0),4)</f>
        <v>1.1052</v>
      </c>
      <c r="S13" s="275">
        <f>ROUND(VLOOKUP(MID($E13,4,3),'Wochentag F(WT)'!$B$7:$J$22,S$9,0),4)</f>
        <v>1.0857000000000001</v>
      </c>
      <c r="T13" s="275">
        <f>ROUND(VLOOKUP(MID($E13,4,3),'Wochentag F(WT)'!$B$7:$J$22,T$9,0),4)</f>
        <v>1.0378000000000001</v>
      </c>
      <c r="U13" s="275">
        <f>ROUND(VLOOKUP(MID($E13,4,3),'Wochentag F(WT)'!$B$7:$J$22,U$9,0),4)</f>
        <v>1.0622</v>
      </c>
      <c r="V13" s="275">
        <f>ROUND(VLOOKUP(MID($E13,4,3),'Wochentag F(WT)'!$B$7:$J$22,V$9,0),4)</f>
        <v>1.0266</v>
      </c>
      <c r="W13" s="275">
        <f>ROUND(VLOOKUP(MID($E13,4,3),'Wochentag F(WT)'!$B$7:$J$22,W$9,0),4)</f>
        <v>0.76290000000000002</v>
      </c>
      <c r="X13" s="276">
        <f t="shared" ref="X13:X23" si="2">7-SUM(R13:W13)</f>
        <v>0.91959999999999997</v>
      </c>
      <c r="Y13" s="292"/>
      <c r="Z13" s="211"/>
    </row>
    <row r="14" spans="2:26" s="143" customFormat="1">
      <c r="B14" s="144">
        <v>3</v>
      </c>
      <c r="C14" s="145" t="str">
        <f t="shared" si="0"/>
        <v>Netzgebiet Leitungspartner</v>
      </c>
      <c r="D14" s="62" t="s">
        <v>246</v>
      </c>
      <c r="E14" s="165" t="s">
        <v>668</v>
      </c>
      <c r="F14" s="296" t="str">
        <f>VLOOKUP($E14,'BDEW-Standard'!$B$3:$M$158,F$9,0)</f>
        <v>BD5</v>
      </c>
      <c r="H14" s="274">
        <f>ROUND(VLOOKUP($E14,'BDEW-Standard'!$B$3:$M$94,H$9,0),7)</f>
        <v>4.5699506000000003</v>
      </c>
      <c r="I14" s="274">
        <f>ROUND(VLOOKUP($E14,'BDEW-Standard'!$B$3:$M$94,I$9,0),7)</f>
        <v>-38.535339200000003</v>
      </c>
      <c r="J14" s="274">
        <f>ROUND(VLOOKUP($E14,'BDEW-Standard'!$B$3:$M$94,J$9,0),7)</f>
        <v>7.5976990999999998</v>
      </c>
      <c r="K14" s="274">
        <f>ROUND(VLOOKUP($E14,'BDEW-Standard'!$B$3:$M$94,K$9,0),7)</f>
        <v>6.6314E-3</v>
      </c>
      <c r="L14" s="337">
        <f>ROUND(VLOOKUP($E14,'BDEW-Standard'!$B$3:$M$94,L$9,0),1)</f>
        <v>40</v>
      </c>
      <c r="M14" s="274">
        <f>ROUND(VLOOKUP($E14,'BDEW-Standard'!$B$3:$M$158,M$9,0),7)</f>
        <v>0</v>
      </c>
      <c r="N14" s="274">
        <f>ROUND(VLOOKUP($E14,'BDEW-Standard'!$B$3:$M$158,N$9,0),7)</f>
        <v>0</v>
      </c>
      <c r="O14" s="274">
        <f>ROUND(VLOOKUP($E14,'BDEW-Standard'!$B$3:$M$158,O$9,0),7)</f>
        <v>0</v>
      </c>
      <c r="P14" s="274">
        <f>ROUND(VLOOKUP($E14,'BDEW-Standard'!$B$3:$M$158,P$9,0),7)</f>
        <v>0</v>
      </c>
      <c r="Q14" s="338">
        <f t="shared" si="1"/>
        <v>0.90200299693660235</v>
      </c>
      <c r="R14" s="275">
        <f>ROUND(VLOOKUP(MID($E14,4,3),'Wochentag F(WT)'!$B$7:$J$22,R$9,0),4)</f>
        <v>1.1052</v>
      </c>
      <c r="S14" s="275">
        <f>ROUND(VLOOKUP(MID($E14,4,3),'Wochentag F(WT)'!$B$7:$J$22,S$9,0),4)</f>
        <v>1.0857000000000001</v>
      </c>
      <c r="T14" s="275">
        <f>ROUND(VLOOKUP(MID($E14,4,3),'Wochentag F(WT)'!$B$7:$J$22,T$9,0),4)</f>
        <v>1.0378000000000001</v>
      </c>
      <c r="U14" s="275">
        <f>ROUND(VLOOKUP(MID($E14,4,3),'Wochentag F(WT)'!$B$7:$J$22,U$9,0),4)</f>
        <v>1.0622</v>
      </c>
      <c r="V14" s="275">
        <f>ROUND(VLOOKUP(MID($E14,4,3),'Wochentag F(WT)'!$B$7:$J$22,V$9,0),4)</f>
        <v>1.0266</v>
      </c>
      <c r="W14" s="275">
        <f>ROUND(VLOOKUP(MID($E14,4,3),'Wochentag F(WT)'!$B$7:$J$22,W$9,0),4)</f>
        <v>0.76290000000000002</v>
      </c>
      <c r="X14" s="276">
        <f t="shared" si="2"/>
        <v>0.91959999999999997</v>
      </c>
      <c r="Y14" s="292"/>
      <c r="Z14" s="211"/>
    </row>
    <row r="15" spans="2:26" s="143" customFormat="1">
      <c r="B15" s="144">
        <v>4</v>
      </c>
      <c r="C15" s="145" t="str">
        <f t="shared" si="0"/>
        <v>Netzgebiet Leitungspartner</v>
      </c>
      <c r="D15" s="62" t="s">
        <v>246</v>
      </c>
      <c r="E15" s="165" t="s">
        <v>654</v>
      </c>
      <c r="F15" s="296" t="str">
        <f>VLOOKUP($E15,'BDEW-Standard'!$B$3:$M$158,F$9,0)</f>
        <v>BH4</v>
      </c>
      <c r="H15" s="274">
        <f>ROUND(VLOOKUP($E15,'BDEW-Standard'!$B$3:$M$94,H$9,0),7)</f>
        <v>2.4595180999999999</v>
      </c>
      <c r="I15" s="274">
        <f>ROUND(VLOOKUP($E15,'BDEW-Standard'!$B$3:$M$94,I$9,0),7)</f>
        <v>-35.253212400000002</v>
      </c>
      <c r="J15" s="274">
        <f>ROUND(VLOOKUP($E15,'BDEW-Standard'!$B$3:$M$94,J$9,0),7)</f>
        <v>6.0587001000000003</v>
      </c>
      <c r="K15" s="274">
        <f>ROUND(VLOOKUP($E15,'BDEW-Standard'!$B$3:$M$94,K$9,0),7)</f>
        <v>0.16473699999999999</v>
      </c>
      <c r="L15" s="337">
        <f>ROUND(VLOOKUP($E15,'BDEW-Standard'!$B$3:$M$94,L$9,0),1)</f>
        <v>40</v>
      </c>
      <c r="M15" s="274">
        <f>ROUND(VLOOKUP($E15,'BDEW-Standard'!$B$3:$M$158,M$9,0),7)</f>
        <v>0</v>
      </c>
      <c r="N15" s="274">
        <f>ROUND(VLOOKUP($E15,'BDEW-Standard'!$B$3:$M$158,N$9,0),7)</f>
        <v>0</v>
      </c>
      <c r="O15" s="274">
        <f>ROUND(VLOOKUP($E15,'BDEW-Standard'!$B$3:$M$158,O$9,0),7)</f>
        <v>0</v>
      </c>
      <c r="P15" s="274">
        <f>ROUND(VLOOKUP($E15,'BDEW-Standard'!$B$3:$M$158,P$9,0),7)</f>
        <v>0</v>
      </c>
      <c r="Q15" s="338">
        <f t="shared" si="1"/>
        <v>1.043802057143173</v>
      </c>
      <c r="R15" s="275">
        <f>ROUND(VLOOKUP(MID($E15,4,3),'Wochentag F(WT)'!$B$7:$J$22,R$9,0),4)</f>
        <v>0.97670000000000001</v>
      </c>
      <c r="S15" s="275">
        <f>ROUND(VLOOKUP(MID($E15,4,3),'Wochentag F(WT)'!$B$7:$J$22,S$9,0),4)</f>
        <v>1.0388999999999999</v>
      </c>
      <c r="T15" s="275">
        <f>ROUND(VLOOKUP(MID($E15,4,3),'Wochentag F(WT)'!$B$7:$J$22,T$9,0),4)</f>
        <v>1.0027999999999999</v>
      </c>
      <c r="U15" s="275">
        <f>ROUND(VLOOKUP(MID($E15,4,3),'Wochentag F(WT)'!$B$7:$J$22,U$9,0),4)</f>
        <v>1.0162</v>
      </c>
      <c r="V15" s="275">
        <f>ROUND(VLOOKUP(MID($E15,4,3),'Wochentag F(WT)'!$B$7:$J$22,V$9,0),4)</f>
        <v>1.0024</v>
      </c>
      <c r="W15" s="275">
        <f>ROUND(VLOOKUP(MID($E15,4,3),'Wochentag F(WT)'!$B$7:$J$22,W$9,0),4)</f>
        <v>1.0043</v>
      </c>
      <c r="X15" s="276">
        <f t="shared" si="2"/>
        <v>0.95870000000000122</v>
      </c>
      <c r="Y15" s="292"/>
      <c r="Z15" s="211"/>
    </row>
    <row r="16" spans="2:26" s="143" customFormat="1">
      <c r="B16" s="144">
        <v>5</v>
      </c>
      <c r="C16" s="145" t="str">
        <f t="shared" si="0"/>
        <v>Netzgebiet Leitungspartner</v>
      </c>
      <c r="D16" s="62" t="s">
        <v>246</v>
      </c>
      <c r="E16" s="165" t="s">
        <v>669</v>
      </c>
      <c r="F16" s="296" t="str">
        <f>VLOOKUP($E16,'BDEW-Standard'!$B$3:$M$158,F$9,0)</f>
        <v>BH5</v>
      </c>
      <c r="H16" s="274">
        <f>ROUND(VLOOKUP($E16,'BDEW-Standard'!$B$3:$M$94,H$9,0),7)</f>
        <v>2.98</v>
      </c>
      <c r="I16" s="274">
        <f>ROUND(VLOOKUP($E16,'BDEW-Standard'!$B$3:$M$94,I$9,0),7)</f>
        <v>-35.799999999999997</v>
      </c>
      <c r="J16" s="274">
        <f>ROUND(VLOOKUP($E16,'BDEW-Standard'!$B$3:$M$94,J$9,0),7)</f>
        <v>5.6340580999999998</v>
      </c>
      <c r="K16" s="274">
        <f>ROUND(VLOOKUP($E16,'BDEW-Standard'!$B$3:$M$94,K$9,0),7)</f>
        <v>0</v>
      </c>
      <c r="L16" s="337">
        <f>ROUND(VLOOKUP($E16,'BDEW-Standard'!$B$3:$M$94,L$9,0),1)</f>
        <v>40</v>
      </c>
      <c r="M16" s="274">
        <f>ROUND(VLOOKUP($E16,'BDEW-Standard'!$B$3:$M$158,M$9,0),7)</f>
        <v>0</v>
      </c>
      <c r="N16" s="274">
        <f>ROUND(VLOOKUP($E16,'BDEW-Standard'!$B$3:$M$158,N$9,0),7)</f>
        <v>0</v>
      </c>
      <c r="O16" s="274">
        <f>ROUND(VLOOKUP($E16,'BDEW-Standard'!$B$3:$M$158,O$9,0),7)</f>
        <v>0</v>
      </c>
      <c r="P16" s="274">
        <f>ROUND(VLOOKUP($E16,'BDEW-Standard'!$B$3:$M$158,P$9,0),7)</f>
        <v>0</v>
      </c>
      <c r="Q16" s="338">
        <f t="shared" si="1"/>
        <v>1.0340893561256006</v>
      </c>
      <c r="R16" s="275">
        <f>ROUND(VLOOKUP(MID($E16,4,3),'Wochentag F(WT)'!$B$7:$J$22,R$9,0),4)</f>
        <v>0.97670000000000001</v>
      </c>
      <c r="S16" s="275">
        <f>ROUND(VLOOKUP(MID($E16,4,3),'Wochentag F(WT)'!$B$7:$J$22,S$9,0),4)</f>
        <v>1.0388999999999999</v>
      </c>
      <c r="T16" s="275">
        <f>ROUND(VLOOKUP(MID($E16,4,3),'Wochentag F(WT)'!$B$7:$J$22,T$9,0),4)</f>
        <v>1.0027999999999999</v>
      </c>
      <c r="U16" s="275">
        <f>ROUND(VLOOKUP(MID($E16,4,3),'Wochentag F(WT)'!$B$7:$J$22,U$9,0),4)</f>
        <v>1.0162</v>
      </c>
      <c r="V16" s="275">
        <f>ROUND(VLOOKUP(MID($E16,4,3),'Wochentag F(WT)'!$B$7:$J$22,V$9,0),4)</f>
        <v>1.0024</v>
      </c>
      <c r="W16" s="275">
        <f>ROUND(VLOOKUP(MID($E16,4,3),'Wochentag F(WT)'!$B$7:$J$22,W$9,0),4)</f>
        <v>1.0043</v>
      </c>
      <c r="X16" s="276">
        <f t="shared" si="2"/>
        <v>0.95870000000000122</v>
      </c>
      <c r="Y16" s="292"/>
      <c r="Z16" s="211"/>
    </row>
    <row r="17" spans="2:26" s="143" customFormat="1">
      <c r="B17" s="144">
        <v>6</v>
      </c>
      <c r="C17" s="145" t="str">
        <f t="shared" si="0"/>
        <v>Netzgebiet Leitungspartner</v>
      </c>
      <c r="D17" s="62" t="s">
        <v>246</v>
      </c>
      <c r="E17" s="165" t="s">
        <v>655</v>
      </c>
      <c r="F17" s="296" t="str">
        <f>VLOOKUP($E17,'BDEW-Standard'!$B$3:$M$158,F$9,0)</f>
        <v>GA4</v>
      </c>
      <c r="H17" s="274">
        <f>ROUND(VLOOKUP($E17,'BDEW-Standard'!$B$3:$M$94,H$9,0),7)</f>
        <v>2.8195655999999998</v>
      </c>
      <c r="I17" s="274">
        <f>ROUND(VLOOKUP($E17,'BDEW-Standard'!$B$3:$M$94,I$9,0),7)</f>
        <v>-36</v>
      </c>
      <c r="J17" s="274">
        <f>ROUND(VLOOKUP($E17,'BDEW-Standard'!$B$3:$M$94,J$9,0),7)</f>
        <v>7.7368518000000002</v>
      </c>
      <c r="K17" s="274">
        <f>ROUND(VLOOKUP($E17,'BDEW-Standard'!$B$3:$M$94,K$9,0),7)</f>
        <v>0.157281</v>
      </c>
      <c r="L17" s="337">
        <f>ROUND(VLOOKUP($E17,'BDEW-Standard'!$B$3:$M$94,L$9,0),1)</f>
        <v>40</v>
      </c>
      <c r="M17" s="274">
        <f>ROUND(VLOOKUP($E17,'BDEW-Standard'!$B$3:$M$158,M$9,0),7)</f>
        <v>0</v>
      </c>
      <c r="N17" s="274">
        <f>ROUND(VLOOKUP($E17,'BDEW-Standard'!$B$3:$M$158,N$9,0),7)</f>
        <v>0</v>
      </c>
      <c r="O17" s="274">
        <f>ROUND(VLOOKUP($E17,'BDEW-Standard'!$B$3:$M$158,O$9,0),7)</f>
        <v>0</v>
      </c>
      <c r="P17" s="274">
        <f>ROUND(VLOOKUP($E17,'BDEW-Standard'!$B$3:$M$158,P$9,0),7)</f>
        <v>0</v>
      </c>
      <c r="Q17" s="338">
        <f t="shared" si="1"/>
        <v>0.96576337685759206</v>
      </c>
      <c r="R17" s="275">
        <f>ROUND(VLOOKUP(MID($E17,4,3),'Wochentag F(WT)'!$B$7:$J$22,R$9,0),4)</f>
        <v>0.93220000000000003</v>
      </c>
      <c r="S17" s="275">
        <f>ROUND(VLOOKUP(MID($E17,4,3),'Wochentag F(WT)'!$B$7:$J$22,S$9,0),4)</f>
        <v>0.98939999999999995</v>
      </c>
      <c r="T17" s="275">
        <f>ROUND(VLOOKUP(MID($E17,4,3),'Wochentag F(WT)'!$B$7:$J$22,T$9,0),4)</f>
        <v>1.0033000000000001</v>
      </c>
      <c r="U17" s="275">
        <f>ROUND(VLOOKUP(MID($E17,4,3),'Wochentag F(WT)'!$B$7:$J$22,U$9,0),4)</f>
        <v>1.0108999999999999</v>
      </c>
      <c r="V17" s="275">
        <f>ROUND(VLOOKUP(MID($E17,4,3),'Wochentag F(WT)'!$B$7:$J$22,V$9,0),4)</f>
        <v>1.018</v>
      </c>
      <c r="W17" s="275">
        <f>ROUND(VLOOKUP(MID($E17,4,3),'Wochentag F(WT)'!$B$7:$J$22,W$9,0),4)</f>
        <v>1.0356000000000001</v>
      </c>
      <c r="X17" s="276">
        <f t="shared" si="2"/>
        <v>1.0106000000000002</v>
      </c>
      <c r="Y17" s="292"/>
      <c r="Z17" s="211"/>
    </row>
    <row r="18" spans="2:26" s="143" customFormat="1">
      <c r="B18" s="144">
        <v>7</v>
      </c>
      <c r="C18" s="145" t="str">
        <f t="shared" si="0"/>
        <v>Netzgebiet Leitungspartner</v>
      </c>
      <c r="D18" s="62" t="s">
        <v>246</v>
      </c>
      <c r="E18" s="165" t="s">
        <v>670</v>
      </c>
      <c r="F18" s="296" t="str">
        <f>VLOOKUP($E18,'BDEW-Standard'!$B$3:$M$158,F$9,0)</f>
        <v>GA5</v>
      </c>
      <c r="H18" s="274">
        <f>ROUND(VLOOKUP($E18,'BDEW-Standard'!$B$3:$M$94,H$9,0),7)</f>
        <v>3.3295574999999999</v>
      </c>
      <c r="I18" s="274">
        <f>ROUND(VLOOKUP($E18,'BDEW-Standard'!$B$3:$M$94,I$9,0),7)</f>
        <v>-36.014621099999999</v>
      </c>
      <c r="J18" s="274">
        <f>ROUND(VLOOKUP($E18,'BDEW-Standard'!$B$3:$M$94,J$9,0),7)</f>
        <v>8.7767464999999998</v>
      </c>
      <c r="K18" s="274">
        <f>ROUND(VLOOKUP($E18,'BDEW-Standard'!$B$3:$M$94,K$9,0),7)</f>
        <v>0</v>
      </c>
      <c r="L18" s="337">
        <f>ROUND(VLOOKUP($E18,'BDEW-Standard'!$B$3:$M$94,L$9,0),1)</f>
        <v>40</v>
      </c>
      <c r="M18" s="274">
        <f>ROUND(VLOOKUP($E18,'BDEW-Standard'!$B$3:$M$158,M$9,0),7)</f>
        <v>0</v>
      </c>
      <c r="N18" s="274">
        <f>ROUND(VLOOKUP($E18,'BDEW-Standard'!$B$3:$M$158,N$9,0),7)</f>
        <v>0</v>
      </c>
      <c r="O18" s="274">
        <f>ROUND(VLOOKUP($E18,'BDEW-Standard'!$B$3:$M$158,O$9,0),7)</f>
        <v>0</v>
      </c>
      <c r="P18" s="274">
        <f>ROUND(VLOOKUP($E18,'BDEW-Standard'!$B$3:$M$158,P$9,0),7)</f>
        <v>0</v>
      </c>
      <c r="Q18" s="338">
        <f t="shared" si="1"/>
        <v>0.87123951295728519</v>
      </c>
      <c r="R18" s="275">
        <f>ROUND(VLOOKUP(MID($E18,4,3),'Wochentag F(WT)'!$B$7:$J$22,R$9,0),4)</f>
        <v>0.93220000000000003</v>
      </c>
      <c r="S18" s="275">
        <f>ROUND(VLOOKUP(MID($E18,4,3),'Wochentag F(WT)'!$B$7:$J$22,S$9,0),4)</f>
        <v>0.98939999999999995</v>
      </c>
      <c r="T18" s="275">
        <f>ROUND(VLOOKUP(MID($E18,4,3),'Wochentag F(WT)'!$B$7:$J$22,T$9,0),4)</f>
        <v>1.0033000000000001</v>
      </c>
      <c r="U18" s="275">
        <f>ROUND(VLOOKUP(MID($E18,4,3),'Wochentag F(WT)'!$B$7:$J$22,U$9,0),4)</f>
        <v>1.0108999999999999</v>
      </c>
      <c r="V18" s="275">
        <f>ROUND(VLOOKUP(MID($E18,4,3),'Wochentag F(WT)'!$B$7:$J$22,V$9,0),4)</f>
        <v>1.018</v>
      </c>
      <c r="W18" s="275">
        <f>ROUND(VLOOKUP(MID($E18,4,3),'Wochentag F(WT)'!$B$7:$J$22,W$9,0),4)</f>
        <v>1.0356000000000001</v>
      </c>
      <c r="X18" s="276">
        <f t="shared" si="2"/>
        <v>1.0106000000000002</v>
      </c>
      <c r="Y18" s="292"/>
      <c r="Z18" s="211"/>
    </row>
    <row r="19" spans="2:26" s="143" customFormat="1">
      <c r="B19" s="144">
        <v>8</v>
      </c>
      <c r="C19" s="145" t="str">
        <f t="shared" si="0"/>
        <v>Netzgebiet Leitungspartner</v>
      </c>
      <c r="D19" s="62" t="s">
        <v>246</v>
      </c>
      <c r="E19" s="165" t="s">
        <v>671</v>
      </c>
      <c r="F19" s="296" t="str">
        <f>VLOOKUP($E19,'BDEW-Standard'!$B$3:$M$158,F$9,0)</f>
        <v>GB4</v>
      </c>
      <c r="H19" s="274">
        <f>ROUND(VLOOKUP($E19,'BDEW-Standard'!$B$3:$M$94,H$9,0),7)</f>
        <v>3.6017736</v>
      </c>
      <c r="I19" s="274">
        <f>ROUND(VLOOKUP($E19,'BDEW-Standard'!$B$3:$M$94,I$9,0),7)</f>
        <v>-37.882536799999997</v>
      </c>
      <c r="J19" s="274">
        <f>ROUND(VLOOKUP($E19,'BDEW-Standard'!$B$3:$M$94,J$9,0),7)</f>
        <v>6.9836070000000001</v>
      </c>
      <c r="K19" s="274">
        <f>ROUND(VLOOKUP($E19,'BDEW-Standard'!$B$3:$M$94,K$9,0),7)</f>
        <v>5.4826199999999999E-2</v>
      </c>
      <c r="L19" s="337">
        <f>ROUND(VLOOKUP($E19,'BDEW-Standard'!$B$3:$M$94,L$9,0),1)</f>
        <v>40</v>
      </c>
      <c r="M19" s="274">
        <f>ROUND(VLOOKUP($E19,'BDEW-Standard'!$B$3:$M$158,M$9,0),7)</f>
        <v>0</v>
      </c>
      <c r="N19" s="274">
        <f>ROUND(VLOOKUP($E19,'BDEW-Standard'!$B$3:$M$158,N$9,0),7)</f>
        <v>0</v>
      </c>
      <c r="O19" s="274">
        <f>ROUND(VLOOKUP($E19,'BDEW-Standard'!$B$3:$M$158,O$9,0),7)</f>
        <v>0</v>
      </c>
      <c r="P19" s="274">
        <f>ROUND(VLOOKUP($E19,'BDEW-Standard'!$B$3:$M$158,P$9,0),7)</f>
        <v>0</v>
      </c>
      <c r="Q19" s="338">
        <f t="shared" si="1"/>
        <v>0.90239375975311864</v>
      </c>
      <c r="R19" s="275">
        <f>ROUND(VLOOKUP(MID($E19,4,3),'Wochentag F(WT)'!$B$7:$J$22,R$9,0),4)</f>
        <v>0.98970000000000002</v>
      </c>
      <c r="S19" s="275">
        <f>ROUND(VLOOKUP(MID($E19,4,3),'Wochentag F(WT)'!$B$7:$J$22,S$9,0),4)</f>
        <v>0.9627</v>
      </c>
      <c r="T19" s="275">
        <f>ROUND(VLOOKUP(MID($E19,4,3),'Wochentag F(WT)'!$B$7:$J$22,T$9,0),4)</f>
        <v>1.0507</v>
      </c>
      <c r="U19" s="275">
        <f>ROUND(VLOOKUP(MID($E19,4,3),'Wochentag F(WT)'!$B$7:$J$22,U$9,0),4)</f>
        <v>1.0551999999999999</v>
      </c>
      <c r="V19" s="275">
        <f>ROUND(VLOOKUP(MID($E19,4,3),'Wochentag F(WT)'!$B$7:$J$22,V$9,0),4)</f>
        <v>1.0297000000000001</v>
      </c>
      <c r="W19" s="275">
        <f>ROUND(VLOOKUP(MID($E19,4,3),'Wochentag F(WT)'!$B$7:$J$22,W$9,0),4)</f>
        <v>0.97670000000000001</v>
      </c>
      <c r="X19" s="276">
        <f t="shared" si="2"/>
        <v>0.9352999999999998</v>
      </c>
      <c r="Y19" s="292"/>
      <c r="Z19" s="211"/>
    </row>
    <row r="20" spans="2:26" s="143" customFormat="1">
      <c r="B20" s="144">
        <v>9</v>
      </c>
      <c r="C20" s="145" t="str">
        <f t="shared" si="0"/>
        <v>Netzgebiet Leitungspartner</v>
      </c>
      <c r="D20" s="62" t="s">
        <v>246</v>
      </c>
      <c r="E20" s="165" t="s">
        <v>672</v>
      </c>
      <c r="F20" s="296" t="str">
        <f>VLOOKUP($E20,'BDEW-Standard'!$B$3:$M$158,F$9,0)</f>
        <v>GB5</v>
      </c>
      <c r="H20" s="274">
        <f>ROUND(VLOOKUP($E20,'BDEW-Standard'!$B$3:$M$94,H$9,0),7)</f>
        <v>3.9320531999999999</v>
      </c>
      <c r="I20" s="274">
        <f>ROUND(VLOOKUP($E20,'BDEW-Standard'!$B$3:$M$94,I$9,0),7)</f>
        <v>-38.143324800000002</v>
      </c>
      <c r="J20" s="274">
        <f>ROUND(VLOOKUP($E20,'BDEW-Standard'!$B$3:$M$94,J$9,0),7)</f>
        <v>7.6185871000000001</v>
      </c>
      <c r="K20" s="274">
        <f>ROUND(VLOOKUP($E20,'BDEW-Standard'!$B$3:$M$94,K$9,0),7)</f>
        <v>2.30297E-2</v>
      </c>
      <c r="L20" s="337">
        <f>ROUND(VLOOKUP($E20,'BDEW-Standard'!$B$3:$M$94,L$9,0),1)</f>
        <v>40</v>
      </c>
      <c r="M20" s="274">
        <f>ROUND(VLOOKUP($E20,'BDEW-Standard'!$B$3:$M$158,M$9,0),7)</f>
        <v>0</v>
      </c>
      <c r="N20" s="274">
        <f>ROUND(VLOOKUP($E20,'BDEW-Standard'!$B$3:$M$158,N$9,0),7)</f>
        <v>0</v>
      </c>
      <c r="O20" s="274">
        <f>ROUND(VLOOKUP($E20,'BDEW-Standard'!$B$3:$M$158,O$9,0),7)</f>
        <v>0</v>
      </c>
      <c r="P20" s="274">
        <f>ROUND(VLOOKUP($E20,'BDEW-Standard'!$B$3:$M$158,P$9,0),7)</f>
        <v>0</v>
      </c>
      <c r="Q20" s="338">
        <f t="shared" si="1"/>
        <v>0.84030497703104434</v>
      </c>
      <c r="R20" s="275">
        <f>ROUND(VLOOKUP(MID($E20,4,3),'Wochentag F(WT)'!$B$7:$J$22,R$9,0),4)</f>
        <v>0.98970000000000002</v>
      </c>
      <c r="S20" s="275">
        <f>ROUND(VLOOKUP(MID($E20,4,3),'Wochentag F(WT)'!$B$7:$J$22,S$9,0),4)</f>
        <v>0.9627</v>
      </c>
      <c r="T20" s="275">
        <f>ROUND(VLOOKUP(MID($E20,4,3),'Wochentag F(WT)'!$B$7:$J$22,T$9,0),4)</f>
        <v>1.0507</v>
      </c>
      <c r="U20" s="275">
        <f>ROUND(VLOOKUP(MID($E20,4,3),'Wochentag F(WT)'!$B$7:$J$22,U$9,0),4)</f>
        <v>1.0551999999999999</v>
      </c>
      <c r="V20" s="275">
        <f>ROUND(VLOOKUP(MID($E20,4,3),'Wochentag F(WT)'!$B$7:$J$22,V$9,0),4)</f>
        <v>1.0297000000000001</v>
      </c>
      <c r="W20" s="275">
        <f>ROUND(VLOOKUP(MID($E20,4,3),'Wochentag F(WT)'!$B$7:$J$22,W$9,0),4)</f>
        <v>0.97670000000000001</v>
      </c>
      <c r="X20" s="276">
        <f t="shared" si="2"/>
        <v>0.9352999999999998</v>
      </c>
      <c r="Y20" s="292"/>
      <c r="Z20" s="211"/>
    </row>
    <row r="21" spans="2:26" s="143" customFormat="1">
      <c r="B21" s="144">
        <v>10</v>
      </c>
      <c r="C21" s="145" t="str">
        <f t="shared" si="0"/>
        <v>Netzgebiet Leitungspartner</v>
      </c>
      <c r="D21" s="62" t="s">
        <v>246</v>
      </c>
      <c r="E21" s="165" t="s">
        <v>657</v>
      </c>
      <c r="F21" s="296" t="str">
        <f>VLOOKUP($E21,'BDEW-Standard'!$B$3:$M$158,F$9,0)</f>
        <v>HA4</v>
      </c>
      <c r="H21" s="274">
        <f>ROUND(VLOOKUP($E21,'BDEW-Standard'!$B$3:$M$94,H$9,0),7)</f>
        <v>4.0196902000000003</v>
      </c>
      <c r="I21" s="274">
        <f>ROUND(VLOOKUP($E21,'BDEW-Standard'!$B$3:$M$94,I$9,0),7)</f>
        <v>-37.828203700000003</v>
      </c>
      <c r="J21" s="274">
        <f>ROUND(VLOOKUP($E21,'BDEW-Standard'!$B$3:$M$94,J$9,0),7)</f>
        <v>8.1593368999999996</v>
      </c>
      <c r="K21" s="274">
        <f>ROUND(VLOOKUP($E21,'BDEW-Standard'!$B$3:$M$94,K$9,0),7)</f>
        <v>4.72845E-2</v>
      </c>
      <c r="L21" s="337">
        <f>ROUND(VLOOKUP($E21,'BDEW-Standard'!$B$3:$M$94,L$9,0),1)</f>
        <v>40</v>
      </c>
      <c r="M21" s="274">
        <f>ROUND(VLOOKUP($E21,'BDEW-Standard'!$B$3:$M$158,M$9,0),7)</f>
        <v>0</v>
      </c>
      <c r="N21" s="274">
        <f>ROUND(VLOOKUP($E21,'BDEW-Standard'!$B$3:$M$158,N$9,0),7)</f>
        <v>0</v>
      </c>
      <c r="O21" s="274">
        <f>ROUND(VLOOKUP($E21,'BDEW-Standard'!$B$3:$M$158,O$9,0),7)</f>
        <v>0</v>
      </c>
      <c r="P21" s="274">
        <f>ROUND(VLOOKUP($E21,'BDEW-Standard'!$B$3:$M$158,P$9,0),7)</f>
        <v>0</v>
      </c>
      <c r="Q21" s="338">
        <f t="shared" si="1"/>
        <v>0.86486713303260787</v>
      </c>
      <c r="R21" s="275">
        <f>ROUND(VLOOKUP(MID($E21,4,3),'Wochentag F(WT)'!$B$7:$J$22,R$9,0),4)</f>
        <v>1.0358000000000001</v>
      </c>
      <c r="S21" s="275">
        <f>ROUND(VLOOKUP(MID($E21,4,3),'Wochentag F(WT)'!$B$7:$J$22,S$9,0),4)</f>
        <v>1.0232000000000001</v>
      </c>
      <c r="T21" s="275">
        <f>ROUND(VLOOKUP(MID($E21,4,3),'Wochentag F(WT)'!$B$7:$J$22,T$9,0),4)</f>
        <v>1.0251999999999999</v>
      </c>
      <c r="U21" s="275">
        <f>ROUND(VLOOKUP(MID($E21,4,3),'Wochentag F(WT)'!$B$7:$J$22,U$9,0),4)</f>
        <v>1.0295000000000001</v>
      </c>
      <c r="V21" s="275">
        <f>ROUND(VLOOKUP(MID($E21,4,3),'Wochentag F(WT)'!$B$7:$J$22,V$9,0),4)</f>
        <v>1.0253000000000001</v>
      </c>
      <c r="W21" s="275">
        <f>ROUND(VLOOKUP(MID($E21,4,3),'Wochentag F(WT)'!$B$7:$J$22,W$9,0),4)</f>
        <v>0.96750000000000003</v>
      </c>
      <c r="X21" s="276">
        <f t="shared" si="2"/>
        <v>0.89350000000000041</v>
      </c>
      <c r="Y21" s="292"/>
      <c r="Z21" s="211"/>
    </row>
    <row r="22" spans="2:26" s="143" customFormat="1">
      <c r="B22" s="144">
        <v>11</v>
      </c>
      <c r="C22" s="145" t="str">
        <f t="shared" si="0"/>
        <v>Netzgebiet Leitungspartner</v>
      </c>
      <c r="D22" s="62" t="s">
        <v>246</v>
      </c>
      <c r="E22" s="165" t="s">
        <v>673</v>
      </c>
      <c r="F22" s="296" t="str">
        <f>VLOOKUP($E22,'BDEW-Standard'!$B$3:$M$158,F$9,0)</f>
        <v>HA5</v>
      </c>
      <c r="H22" s="274">
        <f>ROUND(VLOOKUP($E22,'BDEW-Standard'!$B$3:$M$94,H$9,0),7)</f>
        <v>4.8252376000000003</v>
      </c>
      <c r="I22" s="274">
        <f>ROUND(VLOOKUP($E22,'BDEW-Standard'!$B$3:$M$94,I$9,0),7)</f>
        <v>-39.280256399999999</v>
      </c>
      <c r="J22" s="274">
        <f>ROUND(VLOOKUP($E22,'BDEW-Standard'!$B$3:$M$94,J$9,0),7)</f>
        <v>8.6240217000000001</v>
      </c>
      <c r="K22" s="274">
        <f>ROUND(VLOOKUP($E22,'BDEW-Standard'!$B$3:$M$94,K$9,0),7)</f>
        <v>9.9944999999999999E-3</v>
      </c>
      <c r="L22" s="337">
        <f>ROUND(VLOOKUP($E22,'BDEW-Standard'!$B$3:$M$94,L$9,0),1)</f>
        <v>40</v>
      </c>
      <c r="M22" s="274">
        <f>ROUND(VLOOKUP($E22,'BDEW-Standard'!$B$3:$M$158,M$9,0),7)</f>
        <v>0</v>
      </c>
      <c r="N22" s="274">
        <f>ROUND(VLOOKUP($E22,'BDEW-Standard'!$B$3:$M$158,N$9,0),7)</f>
        <v>0</v>
      </c>
      <c r="O22" s="274">
        <f>ROUND(VLOOKUP($E22,'BDEW-Standard'!$B$3:$M$158,O$9,0),7)</f>
        <v>0</v>
      </c>
      <c r="P22" s="274">
        <f>ROUND(VLOOKUP($E22,'BDEW-Standard'!$B$3:$M$158,P$9,0),7)</f>
        <v>0</v>
      </c>
      <c r="Q22" s="338">
        <f t="shared" si="1"/>
        <v>0.7135891999263051</v>
      </c>
      <c r="R22" s="275">
        <f>ROUND(VLOOKUP(MID($E22,4,3),'Wochentag F(WT)'!$B$7:$J$22,R$9,0),4)</f>
        <v>1.0358000000000001</v>
      </c>
      <c r="S22" s="275">
        <f>ROUND(VLOOKUP(MID($E22,4,3),'Wochentag F(WT)'!$B$7:$J$22,S$9,0),4)</f>
        <v>1.0232000000000001</v>
      </c>
      <c r="T22" s="275">
        <f>ROUND(VLOOKUP(MID($E22,4,3),'Wochentag F(WT)'!$B$7:$J$22,T$9,0),4)</f>
        <v>1.0251999999999999</v>
      </c>
      <c r="U22" s="275">
        <f>ROUND(VLOOKUP(MID($E22,4,3),'Wochentag F(WT)'!$B$7:$J$22,U$9,0),4)</f>
        <v>1.0295000000000001</v>
      </c>
      <c r="V22" s="275">
        <f>ROUND(VLOOKUP(MID($E22,4,3),'Wochentag F(WT)'!$B$7:$J$22,V$9,0),4)</f>
        <v>1.0253000000000001</v>
      </c>
      <c r="W22" s="275">
        <f>ROUND(VLOOKUP(MID($E22,4,3),'Wochentag F(WT)'!$B$7:$J$22,W$9,0),4)</f>
        <v>0.96750000000000003</v>
      </c>
      <c r="X22" s="276">
        <f t="shared" si="2"/>
        <v>0.89350000000000041</v>
      </c>
      <c r="Y22" s="292"/>
      <c r="Z22" s="211"/>
    </row>
    <row r="23" spans="2:26" s="143" customFormat="1">
      <c r="B23" s="144">
        <v>12</v>
      </c>
      <c r="C23" s="145" t="str">
        <f t="shared" si="0"/>
        <v>Netzgebiet Leitungspartner</v>
      </c>
      <c r="D23" s="62" t="s">
        <v>246</v>
      </c>
      <c r="E23" s="165" t="s">
        <v>674</v>
      </c>
      <c r="F23" s="296" t="str">
        <f>VLOOKUP($E23,'BDEW-Standard'!$B$3:$M$158,F$9,0)</f>
        <v>HD4</v>
      </c>
      <c r="H23" s="274">
        <f>ROUND(VLOOKUP($E23,'BDEW-Standard'!$B$3:$M$94,H$9,0),7)</f>
        <v>3.0084346000000002</v>
      </c>
      <c r="I23" s="274">
        <f>ROUND(VLOOKUP($E23,'BDEW-Standard'!$B$3:$M$94,I$9,0),7)</f>
        <v>-36.607845300000001</v>
      </c>
      <c r="J23" s="274">
        <f>ROUND(VLOOKUP($E23,'BDEW-Standard'!$B$3:$M$94,J$9,0),7)</f>
        <v>7.3211870000000001</v>
      </c>
      <c r="K23" s="274">
        <f>ROUND(VLOOKUP($E23,'BDEW-Standard'!$B$3:$M$94,K$9,0),7)</f>
        <v>0.15496599999999999</v>
      </c>
      <c r="L23" s="337">
        <f>ROUND(VLOOKUP($E23,'BDEW-Standard'!$B$3:$M$94,L$9,0),1)</f>
        <v>40</v>
      </c>
      <c r="M23" s="274">
        <f>ROUND(VLOOKUP($E23,'BDEW-Standard'!$B$3:$M$158,M$9,0),7)</f>
        <v>0</v>
      </c>
      <c r="N23" s="274">
        <f>ROUND(VLOOKUP($E23,'BDEW-Standard'!$B$3:$M$158,N$9,0),7)</f>
        <v>0</v>
      </c>
      <c r="O23" s="274">
        <f>ROUND(VLOOKUP($E23,'BDEW-Standard'!$B$3:$M$158,O$9,0),7)</f>
        <v>0</v>
      </c>
      <c r="P23" s="274">
        <f>ROUND(VLOOKUP($E23,'BDEW-Standard'!$B$3:$M$158,P$9,0),7)</f>
        <v>0</v>
      </c>
      <c r="Q23" s="338">
        <f t="shared" si="1"/>
        <v>0.97302438504000599</v>
      </c>
      <c r="R23" s="275">
        <f>ROUND(VLOOKUP(MID($E23,4,3),'Wochentag F(WT)'!$B$7:$J$22,R$9,0),4)</f>
        <v>1.03</v>
      </c>
      <c r="S23" s="275">
        <f>ROUND(VLOOKUP(MID($E23,4,3),'Wochentag F(WT)'!$B$7:$J$22,S$9,0),4)</f>
        <v>1.03</v>
      </c>
      <c r="T23" s="275">
        <f>ROUND(VLOOKUP(MID($E23,4,3),'Wochentag F(WT)'!$B$7:$J$22,T$9,0),4)</f>
        <v>1.02</v>
      </c>
      <c r="U23" s="275">
        <f>ROUND(VLOOKUP(MID($E23,4,3),'Wochentag F(WT)'!$B$7:$J$22,U$9,0),4)</f>
        <v>1.03</v>
      </c>
      <c r="V23" s="275">
        <f>ROUND(VLOOKUP(MID($E23,4,3),'Wochentag F(WT)'!$B$7:$J$22,V$9,0),4)</f>
        <v>1.01</v>
      </c>
      <c r="W23" s="275">
        <f>ROUND(VLOOKUP(MID($E23,4,3),'Wochentag F(WT)'!$B$7:$J$22,W$9,0),4)</f>
        <v>0.93</v>
      </c>
      <c r="X23" s="276">
        <f t="shared" si="2"/>
        <v>0.95000000000000018</v>
      </c>
      <c r="Y23" s="292"/>
      <c r="Z23" s="211"/>
    </row>
    <row r="24" spans="2:26" s="143" customFormat="1">
      <c r="B24" s="144">
        <v>13</v>
      </c>
      <c r="C24" s="145" t="str">
        <f t="shared" si="0"/>
        <v>Netzgebiet Leitungspartner</v>
      </c>
      <c r="D24" s="62" t="s">
        <v>246</v>
      </c>
      <c r="E24" s="165" t="s">
        <v>675</v>
      </c>
      <c r="F24" s="296" t="str">
        <f>VLOOKUP($E24,'BDEW-Standard'!$B$3:$M$158,F$9,0)</f>
        <v>HK3</v>
      </c>
      <c r="H24" s="274">
        <f>ROUND(VLOOKUP($E24,'BDEW-Standard'!$B$3:$M$94,H$9,0),7)</f>
        <v>0.40409319999999999</v>
      </c>
      <c r="I24" s="274">
        <f>ROUND(VLOOKUP($E24,'BDEW-Standard'!$B$3:$M$94,I$9,0),7)</f>
        <v>-24.439296800000001</v>
      </c>
      <c r="J24" s="274">
        <f>ROUND(VLOOKUP($E24,'BDEW-Standard'!$B$3:$M$94,J$9,0),7)</f>
        <v>6.5718174999999999</v>
      </c>
      <c r="K24" s="274">
        <f>ROUND(VLOOKUP($E24,'BDEW-Standard'!$B$3:$M$94,K$9,0),7)</f>
        <v>0.71077100000000004</v>
      </c>
      <c r="L24" s="337">
        <f>ROUND(VLOOKUP($E24,'BDEW-Standard'!$B$3:$M$94,L$9,0),1)</f>
        <v>40</v>
      </c>
      <c r="M24" s="274">
        <f>ROUND(VLOOKUP($E24,'BDEW-Standard'!$B$3:$M$158,M$9,0),7)</f>
        <v>0</v>
      </c>
      <c r="N24" s="274">
        <f>ROUND(VLOOKUP($E24,'BDEW-Standard'!$B$3:$M$158,N$9,0),7)</f>
        <v>0</v>
      </c>
      <c r="O24" s="274">
        <f>ROUND(VLOOKUP($E24,'BDEW-Standard'!$B$3:$M$158,O$9,0),7)</f>
        <v>0</v>
      </c>
      <c r="P24" s="274">
        <f>ROUND(VLOOKUP($E24,'BDEW-Standard'!$B$3:$M$158,P$9,0),7)</f>
        <v>0</v>
      </c>
      <c r="Q24" s="338">
        <f t="shared" si="1"/>
        <v>1.0561214000512988</v>
      </c>
      <c r="R24" s="275">
        <f>ROUND(VLOOKUP(MID($E24,4,3),'Wochentag F(WT)'!$B$7:$J$22,R$9,0),4)</f>
        <v>1</v>
      </c>
      <c r="S24" s="275">
        <f>ROUND(VLOOKUP(MID($E24,4,3),'Wochentag F(WT)'!$B$7:$J$22,S$9,0),4)</f>
        <v>1</v>
      </c>
      <c r="T24" s="275">
        <f>ROUND(VLOOKUP(MID($E24,4,3),'Wochentag F(WT)'!$B$7:$J$22,T$9,0),4)</f>
        <v>1</v>
      </c>
      <c r="U24" s="275">
        <f>ROUND(VLOOKUP(MID($E24,4,3),'Wochentag F(WT)'!$B$7:$J$22,U$9,0),4)</f>
        <v>1</v>
      </c>
      <c r="V24" s="275">
        <f>ROUND(VLOOKUP(MID($E24,4,3),'Wochentag F(WT)'!$B$7:$J$22,V$9,0),4)</f>
        <v>1</v>
      </c>
      <c r="W24" s="275">
        <f>ROUND(VLOOKUP(MID($E24,4,3),'Wochentag F(WT)'!$B$7:$J$22,W$9,0),4)</f>
        <v>1</v>
      </c>
      <c r="X24" s="276">
        <f t="shared" ref="X24:X30" si="3">7-SUM(R24:W24)</f>
        <v>1</v>
      </c>
      <c r="Y24" s="292"/>
      <c r="Z24" s="211"/>
    </row>
    <row r="25" spans="2:26" s="143" customFormat="1">
      <c r="B25" s="144">
        <v>14</v>
      </c>
      <c r="C25" s="145" t="str">
        <f t="shared" si="0"/>
        <v>Netzgebiet Leitungspartner</v>
      </c>
      <c r="D25" s="62" t="s">
        <v>246</v>
      </c>
      <c r="E25" s="165" t="s">
        <v>656</v>
      </c>
      <c r="F25" s="296" t="str">
        <f>VLOOKUP($E25,'BDEW-Standard'!$B$3:$M$158,F$9,0)</f>
        <v>KO4</v>
      </c>
      <c r="H25" s="274">
        <f>ROUND(VLOOKUP($E25,'BDEW-Standard'!$B$3:$M$94,H$9,0),7)</f>
        <v>3.4428942999999999</v>
      </c>
      <c r="I25" s="274">
        <f>ROUND(VLOOKUP($E25,'BDEW-Standard'!$B$3:$M$94,I$9,0),7)</f>
        <v>-36.659050399999998</v>
      </c>
      <c r="J25" s="274">
        <f>ROUND(VLOOKUP($E25,'BDEW-Standard'!$B$3:$M$94,J$9,0),7)</f>
        <v>7.6083226000000002</v>
      </c>
      <c r="K25" s="274">
        <f>ROUND(VLOOKUP($E25,'BDEW-Standard'!$B$3:$M$94,K$9,0),7)</f>
        <v>7.4685000000000001E-2</v>
      </c>
      <c r="L25" s="337">
        <f>ROUND(VLOOKUP($E25,'BDEW-Standard'!$B$3:$M$94,L$9,0),1)</f>
        <v>40</v>
      </c>
      <c r="M25" s="274">
        <f>ROUND(VLOOKUP($E25,'BDEW-Standard'!$B$3:$M$158,M$9,0),7)</f>
        <v>0</v>
      </c>
      <c r="N25" s="274">
        <f>ROUND(VLOOKUP($E25,'BDEW-Standard'!$B$3:$M$158,N$9,0),7)</f>
        <v>0</v>
      </c>
      <c r="O25" s="274">
        <f>ROUND(VLOOKUP($E25,'BDEW-Standard'!$B$3:$M$158,O$9,0),7)</f>
        <v>0</v>
      </c>
      <c r="P25" s="274">
        <f>ROUND(VLOOKUP($E25,'BDEW-Standard'!$B$3:$M$158,P$9,0),7)</f>
        <v>0</v>
      </c>
      <c r="Q25" s="338">
        <f t="shared" si="1"/>
        <v>0.97768382110526542</v>
      </c>
      <c r="R25" s="275">
        <f>ROUND(VLOOKUP(MID($E25,4,3),'Wochentag F(WT)'!$B$7:$J$22,R$9,0),4)</f>
        <v>1.0354000000000001</v>
      </c>
      <c r="S25" s="275">
        <f>ROUND(VLOOKUP(MID($E25,4,3),'Wochentag F(WT)'!$B$7:$J$22,S$9,0),4)</f>
        <v>1.0523</v>
      </c>
      <c r="T25" s="275">
        <f>ROUND(VLOOKUP(MID($E25,4,3),'Wochentag F(WT)'!$B$7:$J$22,T$9,0),4)</f>
        <v>1.0448999999999999</v>
      </c>
      <c r="U25" s="275">
        <f>ROUND(VLOOKUP(MID($E25,4,3),'Wochentag F(WT)'!$B$7:$J$22,U$9,0),4)</f>
        <v>1.0494000000000001</v>
      </c>
      <c r="V25" s="275">
        <f>ROUND(VLOOKUP(MID($E25,4,3),'Wochentag F(WT)'!$B$7:$J$22,V$9,0),4)</f>
        <v>0.98850000000000005</v>
      </c>
      <c r="W25" s="275">
        <f>ROUND(VLOOKUP(MID($E25,4,3),'Wochentag F(WT)'!$B$7:$J$22,W$9,0),4)</f>
        <v>0.88600000000000001</v>
      </c>
      <c r="X25" s="276">
        <f t="shared" si="3"/>
        <v>0.94349999999999934</v>
      </c>
      <c r="Y25" s="292"/>
      <c r="Z25" s="211"/>
    </row>
    <row r="26" spans="2:26" s="143" customFormat="1">
      <c r="B26" s="144">
        <v>15</v>
      </c>
      <c r="C26" s="145" t="str">
        <f t="shared" si="0"/>
        <v>Netzgebiet Leitungspartner</v>
      </c>
      <c r="D26" s="62" t="s">
        <v>246</v>
      </c>
      <c r="E26" s="165" t="s">
        <v>676</v>
      </c>
      <c r="F26" s="296" t="str">
        <f>VLOOKUP($E26,'BDEW-Standard'!$B$3:$M$158,F$9,0)</f>
        <v>KO5</v>
      </c>
      <c r="H26" s="274">
        <f>ROUND(VLOOKUP($E26,'BDEW-Standard'!$B$3:$M$94,H$9,0),7)</f>
        <v>4.3624833000000001</v>
      </c>
      <c r="I26" s="274">
        <f>ROUND(VLOOKUP($E26,'BDEW-Standard'!$B$3:$M$94,I$9,0),7)</f>
        <v>-38.6634022</v>
      </c>
      <c r="J26" s="274">
        <f>ROUND(VLOOKUP($E26,'BDEW-Standard'!$B$3:$M$94,J$9,0),7)</f>
        <v>7.5974643999999998</v>
      </c>
      <c r="K26" s="274">
        <f>ROUND(VLOOKUP($E26,'BDEW-Standard'!$B$3:$M$94,K$9,0),7)</f>
        <v>8.3263999999999994E-3</v>
      </c>
      <c r="L26" s="337">
        <f>ROUND(VLOOKUP($E26,'BDEW-Standard'!$B$3:$M$94,L$9,0),1)</f>
        <v>40</v>
      </c>
      <c r="M26" s="274">
        <f>ROUND(VLOOKUP($E26,'BDEW-Standard'!$B$3:$M$158,M$9,0),7)</f>
        <v>0</v>
      </c>
      <c r="N26" s="274">
        <f>ROUND(VLOOKUP($E26,'BDEW-Standard'!$B$3:$M$158,N$9,0),7)</f>
        <v>0</v>
      </c>
      <c r="O26" s="274">
        <f>ROUND(VLOOKUP($E26,'BDEW-Standard'!$B$3:$M$158,O$9,0),7)</f>
        <v>0</v>
      </c>
      <c r="P26" s="274">
        <f>ROUND(VLOOKUP($E26,'BDEW-Standard'!$B$3:$M$158,P$9,0),7)</f>
        <v>0</v>
      </c>
      <c r="Q26" s="338">
        <f t="shared" si="1"/>
        <v>0.84588853011795484</v>
      </c>
      <c r="R26" s="275">
        <f>ROUND(VLOOKUP(MID($E26,4,3),'Wochentag F(WT)'!$B$7:$J$22,R$9,0),4)</f>
        <v>1.0354000000000001</v>
      </c>
      <c r="S26" s="275">
        <f>ROUND(VLOOKUP(MID($E26,4,3),'Wochentag F(WT)'!$B$7:$J$22,S$9,0),4)</f>
        <v>1.0523</v>
      </c>
      <c r="T26" s="275">
        <f>ROUND(VLOOKUP(MID($E26,4,3),'Wochentag F(WT)'!$B$7:$J$22,T$9,0),4)</f>
        <v>1.0448999999999999</v>
      </c>
      <c r="U26" s="275">
        <f>ROUND(VLOOKUP(MID($E26,4,3),'Wochentag F(WT)'!$B$7:$J$22,U$9,0),4)</f>
        <v>1.0494000000000001</v>
      </c>
      <c r="V26" s="275">
        <f>ROUND(VLOOKUP(MID($E26,4,3),'Wochentag F(WT)'!$B$7:$J$22,V$9,0),4)</f>
        <v>0.98850000000000005</v>
      </c>
      <c r="W26" s="275">
        <f>ROUND(VLOOKUP(MID($E26,4,3),'Wochentag F(WT)'!$B$7:$J$22,W$9,0),4)</f>
        <v>0.88600000000000001</v>
      </c>
      <c r="X26" s="276">
        <f t="shared" si="3"/>
        <v>0.94349999999999934</v>
      </c>
      <c r="Y26" s="292"/>
      <c r="Z26" s="211"/>
    </row>
    <row r="27" spans="2:26" s="143" customFormat="1">
      <c r="B27" s="144">
        <v>16</v>
      </c>
      <c r="C27" s="145" t="str">
        <f t="shared" si="0"/>
        <v>Netzgebiet Leitungspartner</v>
      </c>
      <c r="D27" s="62" t="s">
        <v>246</v>
      </c>
      <c r="E27" s="166" t="s">
        <v>658</v>
      </c>
      <c r="F27" s="296" t="str">
        <f>VLOOKUP($E27,'BDEW-Standard'!$B$3:$M$158,F$9,0)</f>
        <v>MF4</v>
      </c>
      <c r="H27" s="274">
        <f>ROUND(VLOOKUP($E27,'BDEW-Standard'!$B$3:$M$94,H$9,0),7)</f>
        <v>2.5187775000000001</v>
      </c>
      <c r="I27" s="274">
        <f>ROUND(VLOOKUP($E27,'BDEW-Standard'!$B$3:$M$94,I$9,0),7)</f>
        <v>-35.033375399999997</v>
      </c>
      <c r="J27" s="274">
        <f>ROUND(VLOOKUP($E27,'BDEW-Standard'!$B$3:$M$94,J$9,0),7)</f>
        <v>6.2240634000000004</v>
      </c>
      <c r="K27" s="274">
        <f>ROUND(VLOOKUP($E27,'BDEW-Standard'!$B$3:$M$94,K$9,0),7)</f>
        <v>0.10107820000000001</v>
      </c>
      <c r="L27" s="337">
        <f>ROUND(VLOOKUP($E27,'BDEW-Standard'!$B$3:$M$94,L$9,0),1)</f>
        <v>40</v>
      </c>
      <c r="M27" s="274">
        <f>ROUND(VLOOKUP($E27,'BDEW-Standard'!$B$3:$M$158,M$9,0),7)</f>
        <v>0</v>
      </c>
      <c r="N27" s="274">
        <f>ROUND(VLOOKUP($E27,'BDEW-Standard'!$B$3:$M$158,N$9,0),7)</f>
        <v>0</v>
      </c>
      <c r="O27" s="274">
        <f>ROUND(VLOOKUP($E27,'BDEW-Standard'!$B$3:$M$158,O$9,0),7)</f>
        <v>0</v>
      </c>
      <c r="P27" s="274">
        <f>ROUND(VLOOKUP($E27,'BDEW-Standard'!$B$3:$M$158,P$9,0),7)</f>
        <v>0</v>
      </c>
      <c r="Q27" s="338">
        <f t="shared" si="1"/>
        <v>1.0146273685996503</v>
      </c>
      <c r="R27" s="275">
        <f>ROUND(VLOOKUP(MID($E27,4,3),'Wochentag F(WT)'!$B$7:$J$22,R$9,0),4)</f>
        <v>1.0354000000000001</v>
      </c>
      <c r="S27" s="275">
        <f>ROUND(VLOOKUP(MID($E27,4,3),'Wochentag F(WT)'!$B$7:$J$22,S$9,0),4)</f>
        <v>1.0523</v>
      </c>
      <c r="T27" s="275">
        <f>ROUND(VLOOKUP(MID($E27,4,3),'Wochentag F(WT)'!$B$7:$J$22,T$9,0),4)</f>
        <v>1.0448999999999999</v>
      </c>
      <c r="U27" s="275">
        <f>ROUND(VLOOKUP(MID($E27,4,3),'Wochentag F(WT)'!$B$7:$J$22,U$9,0),4)</f>
        <v>1.0494000000000001</v>
      </c>
      <c r="V27" s="275">
        <f>ROUND(VLOOKUP(MID($E27,4,3),'Wochentag F(WT)'!$B$7:$J$22,V$9,0),4)</f>
        <v>0.98850000000000005</v>
      </c>
      <c r="W27" s="275">
        <f>ROUND(VLOOKUP(MID($E27,4,3),'Wochentag F(WT)'!$B$7:$J$22,W$9,0),4)</f>
        <v>0.88600000000000001</v>
      </c>
      <c r="X27" s="276">
        <f t="shared" si="3"/>
        <v>0.94349999999999934</v>
      </c>
      <c r="Y27" s="292"/>
    </row>
    <row r="28" spans="2:26" s="143" customFormat="1">
      <c r="B28" s="144">
        <v>17</v>
      </c>
      <c r="C28" s="145" t="str">
        <f t="shared" si="0"/>
        <v>Netzgebiet Leitungspartner</v>
      </c>
      <c r="D28" s="62" t="s">
        <v>246</v>
      </c>
      <c r="E28" s="166" t="s">
        <v>677</v>
      </c>
      <c r="F28" s="296" t="str">
        <f>VLOOKUP($E28,'BDEW-Standard'!$B$3:$M$158,F$9,0)</f>
        <v>MF5</v>
      </c>
      <c r="H28" s="274">
        <f>ROUND(VLOOKUP($E28,'BDEW-Standard'!$B$3:$M$94,H$9,0),7)</f>
        <v>2.6564405999999998</v>
      </c>
      <c r="I28" s="274">
        <f>ROUND(VLOOKUP($E28,'BDEW-Standard'!$B$3:$M$94,I$9,0),7)</f>
        <v>-35.2516927</v>
      </c>
      <c r="J28" s="274">
        <f>ROUND(VLOOKUP($E28,'BDEW-Standard'!$B$3:$M$94,J$9,0),7)</f>
        <v>6.5182659000000003</v>
      </c>
      <c r="K28" s="274">
        <f>ROUND(VLOOKUP($E28,'BDEW-Standard'!$B$3:$M$94,K$9,0),7)</f>
        <v>8.1205899999999998E-2</v>
      </c>
      <c r="L28" s="337">
        <f>ROUND(VLOOKUP($E28,'BDEW-Standard'!$B$3:$M$94,L$9,0),1)</f>
        <v>40</v>
      </c>
      <c r="M28" s="274">
        <f>ROUND(VLOOKUP($E28,'BDEW-Standard'!$B$3:$M$158,M$9,0),7)</f>
        <v>0</v>
      </c>
      <c r="N28" s="274">
        <f>ROUND(VLOOKUP($E28,'BDEW-Standard'!$B$3:$M$158,N$9,0),7)</f>
        <v>0</v>
      </c>
      <c r="O28" s="274">
        <f>ROUND(VLOOKUP($E28,'BDEW-Standard'!$B$3:$M$158,O$9,0),7)</f>
        <v>0</v>
      </c>
      <c r="P28" s="274">
        <f>ROUND(VLOOKUP($E28,'BDEW-Standard'!$B$3:$M$158,P$9,0),7)</f>
        <v>0</v>
      </c>
      <c r="Q28" s="338">
        <f t="shared" si="1"/>
        <v>1.0038516847509584</v>
      </c>
      <c r="R28" s="275">
        <f>ROUND(VLOOKUP(MID($E28,4,3),'Wochentag F(WT)'!$B$7:$J$22,R$9,0),4)</f>
        <v>1.0354000000000001</v>
      </c>
      <c r="S28" s="275">
        <f>ROUND(VLOOKUP(MID($E28,4,3),'Wochentag F(WT)'!$B$7:$J$22,S$9,0),4)</f>
        <v>1.0523</v>
      </c>
      <c r="T28" s="275">
        <f>ROUND(VLOOKUP(MID($E28,4,3),'Wochentag F(WT)'!$B$7:$J$22,T$9,0),4)</f>
        <v>1.0448999999999999</v>
      </c>
      <c r="U28" s="275">
        <f>ROUND(VLOOKUP(MID($E28,4,3),'Wochentag F(WT)'!$B$7:$J$22,U$9,0),4)</f>
        <v>1.0494000000000001</v>
      </c>
      <c r="V28" s="275">
        <f>ROUND(VLOOKUP(MID($E28,4,3),'Wochentag F(WT)'!$B$7:$J$22,V$9,0),4)</f>
        <v>0.98850000000000005</v>
      </c>
      <c r="W28" s="275">
        <f>ROUND(VLOOKUP(MID($E28,4,3),'Wochentag F(WT)'!$B$7:$J$22,W$9,0),4)</f>
        <v>0.88600000000000001</v>
      </c>
      <c r="X28" s="276">
        <f t="shared" si="3"/>
        <v>0.94349999999999934</v>
      </c>
      <c r="Y28" s="292"/>
    </row>
    <row r="29" spans="2:26" s="143" customFormat="1">
      <c r="B29" s="144">
        <v>18</v>
      </c>
      <c r="C29" s="145" t="str">
        <f t="shared" si="0"/>
        <v>Netzgebiet Leitungspartner</v>
      </c>
      <c r="D29" s="62" t="s">
        <v>246</v>
      </c>
      <c r="E29" s="166" t="s">
        <v>659</v>
      </c>
      <c r="F29" s="296" t="str">
        <f>VLOOKUP($E29,'BDEW-Standard'!$B$3:$M$158,F$9,0)</f>
        <v>MK4</v>
      </c>
      <c r="H29" s="274">
        <f>ROUND(VLOOKUP($E29,'BDEW-Standard'!$B$3:$M$94,H$9,0),7)</f>
        <v>3.1177248</v>
      </c>
      <c r="I29" s="274">
        <f>ROUND(VLOOKUP($E29,'BDEW-Standard'!$B$3:$M$94,I$9,0),7)</f>
        <v>-35.871506199999999</v>
      </c>
      <c r="J29" s="274">
        <f>ROUND(VLOOKUP($E29,'BDEW-Standard'!$B$3:$M$94,J$9,0),7)</f>
        <v>7.5186828999999999</v>
      </c>
      <c r="K29" s="274">
        <f>ROUND(VLOOKUP($E29,'BDEW-Standard'!$B$3:$M$94,K$9,0),7)</f>
        <v>3.4330100000000002E-2</v>
      </c>
      <c r="L29" s="337">
        <f>ROUND(VLOOKUP($E29,'BDEW-Standard'!$B$3:$M$94,L$9,0),1)</f>
        <v>40</v>
      </c>
      <c r="M29" s="274">
        <f>ROUND(VLOOKUP($E29,'BDEW-Standard'!$B$3:$M$158,M$9,0),7)</f>
        <v>0</v>
      </c>
      <c r="N29" s="274">
        <f>ROUND(VLOOKUP($E29,'BDEW-Standard'!$B$3:$M$158,N$9,0),7)</f>
        <v>0</v>
      </c>
      <c r="O29" s="274">
        <f>ROUND(VLOOKUP($E29,'BDEW-Standard'!$B$3:$M$158,O$9,0),7)</f>
        <v>0</v>
      </c>
      <c r="P29" s="274">
        <f>ROUND(VLOOKUP($E29,'BDEW-Standard'!$B$3:$M$158,P$9,0),7)</f>
        <v>0</v>
      </c>
      <c r="Q29" s="338">
        <f t="shared" si="1"/>
        <v>0.9622064996731321</v>
      </c>
      <c r="R29" s="275">
        <f>ROUND(VLOOKUP(MID($E29,4,3),'Wochentag F(WT)'!$B$7:$J$22,R$9,0),4)</f>
        <v>1.0699000000000001</v>
      </c>
      <c r="S29" s="275">
        <f>ROUND(VLOOKUP(MID($E29,4,3),'Wochentag F(WT)'!$B$7:$J$22,S$9,0),4)</f>
        <v>1.0365</v>
      </c>
      <c r="T29" s="275">
        <f>ROUND(VLOOKUP(MID($E29,4,3),'Wochentag F(WT)'!$B$7:$J$22,T$9,0),4)</f>
        <v>0.99329999999999996</v>
      </c>
      <c r="U29" s="275">
        <f>ROUND(VLOOKUP(MID($E29,4,3),'Wochentag F(WT)'!$B$7:$J$22,U$9,0),4)</f>
        <v>0.99480000000000002</v>
      </c>
      <c r="V29" s="275">
        <f>ROUND(VLOOKUP(MID($E29,4,3),'Wochentag F(WT)'!$B$7:$J$22,V$9,0),4)</f>
        <v>1.0659000000000001</v>
      </c>
      <c r="W29" s="275">
        <f>ROUND(VLOOKUP(MID($E29,4,3),'Wochentag F(WT)'!$B$7:$J$22,W$9,0),4)</f>
        <v>0.93620000000000003</v>
      </c>
      <c r="X29" s="276">
        <f t="shared" si="3"/>
        <v>0.90339999999999954</v>
      </c>
      <c r="Y29" s="292"/>
    </row>
    <row r="30" spans="2:26" s="143" customFormat="1">
      <c r="B30" s="144">
        <v>19</v>
      </c>
      <c r="C30" s="145" t="str">
        <f t="shared" si="0"/>
        <v>Netzgebiet Leitungspartner</v>
      </c>
      <c r="D30" s="62" t="s">
        <v>246</v>
      </c>
      <c r="E30" s="166" t="s">
        <v>678</v>
      </c>
      <c r="F30" s="296" t="str">
        <f>VLOOKUP($E30,'BDEW-Standard'!$B$3:$M$158,F$9,0)</f>
        <v>MK5</v>
      </c>
      <c r="H30" s="274">
        <f>ROUND(VLOOKUP($E30,'BDEW-Standard'!$B$3:$M$94,H$9,0),7)</f>
        <v>3.5862354999999999</v>
      </c>
      <c r="I30" s="274">
        <f>ROUND(VLOOKUP($E30,'BDEW-Standard'!$B$3:$M$94,I$9,0),7)</f>
        <v>-37.080299400000001</v>
      </c>
      <c r="J30" s="274">
        <f>ROUND(VLOOKUP($E30,'BDEW-Standard'!$B$3:$M$94,J$9,0),7)</f>
        <v>8.2420571999999996</v>
      </c>
      <c r="K30" s="274">
        <f>ROUND(VLOOKUP($E30,'BDEW-Standard'!$B$3:$M$94,K$9,0),7)</f>
        <v>1.4600800000000001E-2</v>
      </c>
      <c r="L30" s="337">
        <f>ROUND(VLOOKUP($E30,'BDEW-Standard'!$B$3:$M$94,L$9,0),1)</f>
        <v>40</v>
      </c>
      <c r="M30" s="274">
        <f>ROUND(VLOOKUP($E30,'BDEW-Standard'!$B$3:$M$158,M$9,0),7)</f>
        <v>0</v>
      </c>
      <c r="N30" s="274">
        <f>ROUND(VLOOKUP($E30,'BDEW-Standard'!$B$3:$M$158,N$9,0),7)</f>
        <v>0</v>
      </c>
      <c r="O30" s="274">
        <f>ROUND(VLOOKUP($E30,'BDEW-Standard'!$B$3:$M$158,O$9,0),7)</f>
        <v>0</v>
      </c>
      <c r="P30" s="274">
        <f>ROUND(VLOOKUP($E30,'BDEW-Standard'!$B$3:$M$158,P$9,0),7)</f>
        <v>0</v>
      </c>
      <c r="Q30" s="338">
        <f t="shared" si="1"/>
        <v>0.83553215880324316</v>
      </c>
      <c r="R30" s="275">
        <f>ROUND(VLOOKUP(MID($E30,4,3),'Wochentag F(WT)'!$B$7:$J$22,R$9,0),4)</f>
        <v>1.0699000000000001</v>
      </c>
      <c r="S30" s="275">
        <f>ROUND(VLOOKUP(MID($E30,4,3),'Wochentag F(WT)'!$B$7:$J$22,S$9,0),4)</f>
        <v>1.0365</v>
      </c>
      <c r="T30" s="275">
        <f>ROUND(VLOOKUP(MID($E30,4,3),'Wochentag F(WT)'!$B$7:$J$22,T$9,0),4)</f>
        <v>0.99329999999999996</v>
      </c>
      <c r="U30" s="275">
        <f>ROUND(VLOOKUP(MID($E30,4,3),'Wochentag F(WT)'!$B$7:$J$22,U$9,0),4)</f>
        <v>0.99480000000000002</v>
      </c>
      <c r="V30" s="275">
        <f>ROUND(VLOOKUP(MID($E30,4,3),'Wochentag F(WT)'!$B$7:$J$22,V$9,0),4)</f>
        <v>1.0659000000000001</v>
      </c>
      <c r="W30" s="275">
        <f>ROUND(VLOOKUP(MID($E30,4,3),'Wochentag F(WT)'!$B$7:$J$22,W$9,0),4)</f>
        <v>0.93620000000000003</v>
      </c>
      <c r="X30" s="276">
        <f t="shared" si="3"/>
        <v>0.90339999999999954</v>
      </c>
      <c r="Y30" s="292"/>
    </row>
    <row r="31" spans="2:26" s="143" customFormat="1">
      <c r="B31" s="144">
        <v>20</v>
      </c>
      <c r="C31" s="145" t="str">
        <f t="shared" si="0"/>
        <v>Netzgebiet Leitungspartner</v>
      </c>
      <c r="D31" s="62" t="s">
        <v>246</v>
      </c>
      <c r="E31" s="166" t="s">
        <v>24</v>
      </c>
      <c r="F31" s="296" t="str">
        <f>VLOOKUP($E31,'BDEW-Standard'!$B$3:$M$158,F$9,0)</f>
        <v>N14</v>
      </c>
      <c r="H31" s="274">
        <f>ROUND(VLOOKUP($E31,'BDEW-Standard'!$B$3:$M$158,H$9,0),7)</f>
        <v>3.1935978</v>
      </c>
      <c r="I31" s="274">
        <f>ROUND(VLOOKUP($E31,'BDEW-Standard'!$B$3:$M$158,I$9,0),7)</f>
        <v>-37.414247799999998</v>
      </c>
      <c r="J31" s="274">
        <f>ROUND(VLOOKUP($E31,'BDEW-Standard'!$B$3:$M$158,J$9,0),7)</f>
        <v>6.1824021</v>
      </c>
      <c r="K31" s="274">
        <f>ROUND(VLOOKUP($E31,'BDEW-Standard'!$B$3:$M$158,K$9,0),7)</f>
        <v>6.4760499999999999E-2</v>
      </c>
      <c r="L31" s="337">
        <f>ROUND(VLOOKUP($E31,'BDEW-Standard'!$B$3:$M$158,L$9,0),7)</f>
        <v>40</v>
      </c>
      <c r="M31" s="274">
        <f>ROUND(VLOOKUP($E31,'BDEW-Standard'!$B$3:$M$158,M$9,0),7)</f>
        <v>0</v>
      </c>
      <c r="N31" s="274">
        <f>ROUND(VLOOKUP($E31,'BDEW-Standard'!$B$3:$M$158,N$9,0),7)</f>
        <v>0</v>
      </c>
      <c r="O31" s="274">
        <f>ROUND(VLOOKUP($E31,'BDEW-Standard'!$B$3:$M$158,O$9,0),7)</f>
        <v>0</v>
      </c>
      <c r="P31" s="274">
        <f>ROUND(VLOOKUP($E31,'BDEW-Standard'!$B$3:$M$158,P$9,0),7)</f>
        <v>0</v>
      </c>
      <c r="Q31" s="338">
        <f t="shared" si="1"/>
        <v>0.94490761186795624</v>
      </c>
      <c r="R31" s="275">
        <f>ROUND(VLOOKUP(MID($E31,4,3),'Wochentag F(WT)'!$B$7:$J$22,R$9,0),4)</f>
        <v>1</v>
      </c>
      <c r="S31" s="275">
        <f>ROUND(VLOOKUP(MID($E31,4,3),'Wochentag F(WT)'!$B$7:$J$22,S$9,0),4)</f>
        <v>1</v>
      </c>
      <c r="T31" s="275">
        <f>ROUND(VLOOKUP(MID($E31,4,3),'Wochentag F(WT)'!$B$7:$J$22,T$9,0),4)</f>
        <v>1</v>
      </c>
      <c r="U31" s="275">
        <f>ROUND(VLOOKUP(MID($E31,4,3),'Wochentag F(WT)'!$B$7:$J$22,U$9,0),4)</f>
        <v>1</v>
      </c>
      <c r="V31" s="275">
        <f>ROUND(VLOOKUP(MID($E31,4,3),'Wochentag F(WT)'!$B$7:$J$22,V$9,0),4)</f>
        <v>1</v>
      </c>
      <c r="W31" s="275">
        <f>ROUND(VLOOKUP(MID($E31,4,3),'Wochentag F(WT)'!$B$7:$J$22,W$9,0),4)</f>
        <v>1</v>
      </c>
      <c r="X31" s="276">
        <f t="shared" ref="X31:X35" si="4">7-SUM(R31:W31)</f>
        <v>1</v>
      </c>
      <c r="Y31" s="292"/>
    </row>
    <row r="32" spans="2:26" s="143" customFormat="1">
      <c r="B32" s="144">
        <v>21</v>
      </c>
      <c r="C32" s="145" t="str">
        <f t="shared" si="0"/>
        <v>Netzgebiet Leitungspartner</v>
      </c>
      <c r="D32" s="62" t="s">
        <v>246</v>
      </c>
      <c r="E32" s="166" t="s">
        <v>32</v>
      </c>
      <c r="F32" s="296" t="str">
        <f>VLOOKUP($E32,'BDEW-Standard'!$B$3:$M$158,F$9,0)</f>
        <v>N24</v>
      </c>
      <c r="H32" s="274">
        <f>ROUND(VLOOKUP($E32,'BDEW-Standard'!$B$3:$M$158,H$9,0),7)</f>
        <v>2.529738</v>
      </c>
      <c r="I32" s="274">
        <f>ROUND(VLOOKUP($E32,'BDEW-Standard'!$B$3:$M$158,I$9,0),7)</f>
        <v>-35.0300145</v>
      </c>
      <c r="J32" s="274">
        <f>ROUND(VLOOKUP($E32,'BDEW-Standard'!$B$3:$M$158,J$9,0),7)</f>
        <v>6.2051109000000002</v>
      </c>
      <c r="K32" s="274">
        <f>ROUND(VLOOKUP($E32,'BDEW-Standard'!$B$3:$M$158,K$9,0),7)</f>
        <v>8.4524100000000005E-2</v>
      </c>
      <c r="L32" s="337">
        <f>ROUND(VLOOKUP($E32,'BDEW-Standard'!$B$3:$M$158,L$9,0),7)</f>
        <v>40</v>
      </c>
      <c r="M32" s="274">
        <f>ROUND(VLOOKUP($E32,'BDEW-Standard'!$B$3:$M$158,M$9,0),7)</f>
        <v>0</v>
      </c>
      <c r="N32" s="274">
        <f>ROUND(VLOOKUP($E32,'BDEW-Standard'!$B$3:$M$158,N$9,0),7)</f>
        <v>0</v>
      </c>
      <c r="O32" s="274">
        <f>ROUND(VLOOKUP($E32,'BDEW-Standard'!$B$3:$M$158,O$9,0),7)</f>
        <v>0</v>
      </c>
      <c r="P32" s="274">
        <f>ROUND(VLOOKUP($E32,'BDEW-Standard'!$B$3:$M$158,P$9,0),7)</f>
        <v>0</v>
      </c>
      <c r="Q32" s="338">
        <f t="shared" si="1"/>
        <v>1.0034007991768874</v>
      </c>
      <c r="R32" s="275">
        <f>ROUND(VLOOKUP(MID($E32,4,3),'Wochentag F(WT)'!$B$7:$J$22,R$9,0),4)</f>
        <v>1</v>
      </c>
      <c r="S32" s="275">
        <f>ROUND(VLOOKUP(MID($E32,4,3),'Wochentag F(WT)'!$B$7:$J$22,S$9,0),4)</f>
        <v>1</v>
      </c>
      <c r="T32" s="275">
        <f>ROUND(VLOOKUP(MID($E32,4,3),'Wochentag F(WT)'!$B$7:$J$22,T$9,0),4)</f>
        <v>1</v>
      </c>
      <c r="U32" s="275">
        <f>ROUND(VLOOKUP(MID($E32,4,3),'Wochentag F(WT)'!$B$7:$J$22,U$9,0),4)</f>
        <v>1</v>
      </c>
      <c r="V32" s="275">
        <f>ROUND(VLOOKUP(MID($E32,4,3),'Wochentag F(WT)'!$B$7:$J$22,V$9,0),4)</f>
        <v>1</v>
      </c>
      <c r="W32" s="275">
        <f>ROUND(VLOOKUP(MID($E32,4,3),'Wochentag F(WT)'!$B$7:$J$22,W$9,0),4)</f>
        <v>1</v>
      </c>
      <c r="X32" s="276">
        <f t="shared" si="4"/>
        <v>1</v>
      </c>
      <c r="Y32" s="292"/>
    </row>
    <row r="33" spans="2:25" s="143" customFormat="1">
      <c r="B33" s="144">
        <v>22</v>
      </c>
      <c r="C33" s="145" t="str">
        <f t="shared" si="0"/>
        <v>Netzgebiet Leitungspartner</v>
      </c>
      <c r="D33" s="62" t="s">
        <v>246</v>
      </c>
      <c r="E33" s="166" t="s">
        <v>660</v>
      </c>
      <c r="F33" s="296" t="str">
        <f>VLOOKUP($E33,'BDEW-Standard'!$B$3:$M$158,F$9,0)</f>
        <v>PD4</v>
      </c>
      <c r="H33" s="274">
        <f>ROUND(VLOOKUP($E33,'BDEW-Standard'!$B$3:$M$94,H$9,0),7)</f>
        <v>3.85</v>
      </c>
      <c r="I33" s="274">
        <f>ROUND(VLOOKUP($E33,'BDEW-Standard'!$B$3:$M$94,I$9,0),7)</f>
        <v>-37</v>
      </c>
      <c r="J33" s="274">
        <f>ROUND(VLOOKUP($E33,'BDEW-Standard'!$B$3:$M$94,J$9,0),7)</f>
        <v>10.2405021</v>
      </c>
      <c r="K33" s="274">
        <f>ROUND(VLOOKUP($E33,'BDEW-Standard'!$B$3:$M$94,K$9,0),7)</f>
        <v>4.6924300000000002E-2</v>
      </c>
      <c r="L33" s="337">
        <f>ROUND(VLOOKUP($E33,'BDEW-Standard'!$B$3:$M$94,L$9,0),1)</f>
        <v>40</v>
      </c>
      <c r="M33" s="274">
        <f>ROUND(VLOOKUP($E33,'BDEW-Standard'!$B$3:$M$158,M$9,0),7)</f>
        <v>0</v>
      </c>
      <c r="N33" s="274">
        <f>ROUND(VLOOKUP($E33,'BDEW-Standard'!$B$3:$M$158,N$9,0),7)</f>
        <v>0</v>
      </c>
      <c r="O33" s="274">
        <f>ROUND(VLOOKUP($E33,'BDEW-Standard'!$B$3:$M$158,O$9,0),7)</f>
        <v>0</v>
      </c>
      <c r="P33" s="274">
        <f>ROUND(VLOOKUP($E33,'BDEW-Standard'!$B$3:$M$158,P$9,0),7)</f>
        <v>0</v>
      </c>
      <c r="Q33" s="338">
        <f t="shared" si="1"/>
        <v>0.75691065279879233</v>
      </c>
      <c r="R33" s="275">
        <f>ROUND(VLOOKUP(MID($E33,4,3),'Wochentag F(WT)'!$B$7:$J$22,R$9,0),4)</f>
        <v>1.0214000000000001</v>
      </c>
      <c r="S33" s="275">
        <f>ROUND(VLOOKUP(MID($E33,4,3),'Wochentag F(WT)'!$B$7:$J$22,S$9,0),4)</f>
        <v>1.0866</v>
      </c>
      <c r="T33" s="275">
        <f>ROUND(VLOOKUP(MID($E33,4,3),'Wochentag F(WT)'!$B$7:$J$22,T$9,0),4)</f>
        <v>1.0720000000000001</v>
      </c>
      <c r="U33" s="275">
        <f>ROUND(VLOOKUP(MID($E33,4,3),'Wochentag F(WT)'!$B$7:$J$22,U$9,0),4)</f>
        <v>1.0557000000000001</v>
      </c>
      <c r="V33" s="275">
        <f>ROUND(VLOOKUP(MID($E33,4,3),'Wochentag F(WT)'!$B$7:$J$22,V$9,0),4)</f>
        <v>1.0117</v>
      </c>
      <c r="W33" s="275">
        <f>ROUND(VLOOKUP(MID($E33,4,3),'Wochentag F(WT)'!$B$7:$J$22,W$9,0),4)</f>
        <v>0.90010000000000001</v>
      </c>
      <c r="X33" s="276">
        <f t="shared" si="4"/>
        <v>0.85249999999999915</v>
      </c>
      <c r="Y33" s="292"/>
    </row>
    <row r="34" spans="2:25" s="143" customFormat="1">
      <c r="B34" s="144">
        <v>23</v>
      </c>
      <c r="C34" s="145" t="str">
        <f t="shared" si="0"/>
        <v>Netzgebiet Leitungspartner</v>
      </c>
      <c r="D34" s="62" t="s">
        <v>246</v>
      </c>
      <c r="E34" s="166" t="s">
        <v>679</v>
      </c>
      <c r="F34" s="296" t="str">
        <f>VLOOKUP($E34,'BDEW-Standard'!$B$3:$M$158,F$9,0)</f>
        <v>PD5</v>
      </c>
      <c r="H34" s="274">
        <f>ROUND(VLOOKUP($E34,'BDEW-Standard'!$B$3:$M$94,H$9,0),7)</f>
        <v>4.7462814</v>
      </c>
      <c r="I34" s="274">
        <f>ROUND(VLOOKUP($E34,'BDEW-Standard'!$B$3:$M$94,I$9,0),7)</f>
        <v>-38.750429400000002</v>
      </c>
      <c r="J34" s="274">
        <f>ROUND(VLOOKUP($E34,'BDEW-Standard'!$B$3:$M$94,J$9,0),7)</f>
        <v>10.275333399999999</v>
      </c>
      <c r="K34" s="274">
        <f>ROUND(VLOOKUP($E34,'BDEW-Standard'!$B$3:$M$94,K$9,0),7)</f>
        <v>0</v>
      </c>
      <c r="L34" s="337">
        <f>ROUND(VLOOKUP($E34,'BDEW-Standard'!$B$3:$M$94,L$9,0),1)</f>
        <v>40</v>
      </c>
      <c r="M34" s="274">
        <f>ROUND(VLOOKUP($E34,'BDEW-Standard'!$B$3:$M$158,M$9,0),7)</f>
        <v>0</v>
      </c>
      <c r="N34" s="274">
        <f>ROUND(VLOOKUP($E34,'BDEW-Standard'!$B$3:$M$158,N$9,0),7)</f>
        <v>0</v>
      </c>
      <c r="O34" s="274">
        <f>ROUND(VLOOKUP($E34,'BDEW-Standard'!$B$3:$M$158,O$9,0),7)</f>
        <v>0</v>
      </c>
      <c r="P34" s="274">
        <f>ROUND(VLOOKUP($E34,'BDEW-Standard'!$B$3:$M$158,P$9,0),7)</f>
        <v>0</v>
      </c>
      <c r="Q34" s="338">
        <f t="shared" si="1"/>
        <v>0.58254597027316624</v>
      </c>
      <c r="R34" s="275">
        <f>ROUND(VLOOKUP(MID($E34,4,3),'Wochentag F(WT)'!$B$7:$J$22,R$9,0),4)</f>
        <v>1.0214000000000001</v>
      </c>
      <c r="S34" s="275">
        <f>ROUND(VLOOKUP(MID($E34,4,3),'Wochentag F(WT)'!$B$7:$J$22,S$9,0),4)</f>
        <v>1.0866</v>
      </c>
      <c r="T34" s="275">
        <f>ROUND(VLOOKUP(MID($E34,4,3),'Wochentag F(WT)'!$B$7:$J$22,T$9,0),4)</f>
        <v>1.0720000000000001</v>
      </c>
      <c r="U34" s="275">
        <f>ROUND(VLOOKUP(MID($E34,4,3),'Wochentag F(WT)'!$B$7:$J$22,U$9,0),4)</f>
        <v>1.0557000000000001</v>
      </c>
      <c r="V34" s="275">
        <f>ROUND(VLOOKUP(MID($E34,4,3),'Wochentag F(WT)'!$B$7:$J$22,V$9,0),4)</f>
        <v>1.0117</v>
      </c>
      <c r="W34" s="275">
        <f>ROUND(VLOOKUP(MID($E34,4,3),'Wochentag F(WT)'!$B$7:$J$22,W$9,0),4)</f>
        <v>0.90010000000000001</v>
      </c>
      <c r="X34" s="276">
        <f t="shared" si="4"/>
        <v>0.85249999999999915</v>
      </c>
      <c r="Y34" s="292"/>
    </row>
    <row r="35" spans="2:25" s="143" customFormat="1">
      <c r="B35" s="144">
        <v>24</v>
      </c>
      <c r="C35" s="145" t="str">
        <f t="shared" si="0"/>
        <v>Netzgebiet Leitungspartner</v>
      </c>
      <c r="D35" s="62" t="s">
        <v>246</v>
      </c>
      <c r="E35" s="166" t="s">
        <v>680</v>
      </c>
      <c r="F35" s="296" t="str">
        <f>VLOOKUP($E35,'BDEW-Standard'!$B$3:$M$158,F$9,0)</f>
        <v>WA4</v>
      </c>
      <c r="H35" s="274">
        <f>ROUND(VLOOKUP($E35,'BDEW-Standard'!$B$3:$M$94,H$9,0),7)</f>
        <v>1.0535874999999999</v>
      </c>
      <c r="I35" s="274">
        <f>ROUND(VLOOKUP($E35,'BDEW-Standard'!$B$3:$M$94,I$9,0),7)</f>
        <v>-35.299999999999997</v>
      </c>
      <c r="J35" s="274">
        <f>ROUND(VLOOKUP($E35,'BDEW-Standard'!$B$3:$M$94,J$9,0),7)</f>
        <v>4.8662747</v>
      </c>
      <c r="K35" s="274">
        <f>ROUND(VLOOKUP($E35,'BDEW-Standard'!$B$3:$M$94,K$9,0),7)</f>
        <v>0.68110420000000005</v>
      </c>
      <c r="L35" s="337">
        <f>ROUND(VLOOKUP($E35,'BDEW-Standard'!$B$3:$M$94,L$9,0),1)</f>
        <v>40</v>
      </c>
      <c r="M35" s="274">
        <f>ROUND(VLOOKUP($E35,'BDEW-Standard'!$B$3:$M$158,M$9,0),7)</f>
        <v>0</v>
      </c>
      <c r="N35" s="274">
        <f>ROUND(VLOOKUP($E35,'BDEW-Standard'!$B$3:$M$158,N$9,0),7)</f>
        <v>0</v>
      </c>
      <c r="O35" s="274">
        <f>ROUND(VLOOKUP($E35,'BDEW-Standard'!$B$3:$M$158,O$9,0),7)</f>
        <v>0</v>
      </c>
      <c r="P35" s="274">
        <f>ROUND(VLOOKUP($E35,'BDEW-Standard'!$B$3:$M$158,P$9,0),7)</f>
        <v>0</v>
      </c>
      <c r="Q35" s="338">
        <f t="shared" si="1"/>
        <v>1.0844348950990992</v>
      </c>
      <c r="R35" s="275">
        <f>ROUND(VLOOKUP(MID($E35,4,3),'Wochentag F(WT)'!$B$7:$J$22,R$9,0),4)</f>
        <v>1.2457</v>
      </c>
      <c r="S35" s="275">
        <f>ROUND(VLOOKUP(MID($E35,4,3),'Wochentag F(WT)'!$B$7:$J$22,S$9,0),4)</f>
        <v>1.2615000000000001</v>
      </c>
      <c r="T35" s="275">
        <f>ROUND(VLOOKUP(MID($E35,4,3),'Wochentag F(WT)'!$B$7:$J$22,T$9,0),4)</f>
        <v>1.2706999999999999</v>
      </c>
      <c r="U35" s="275">
        <f>ROUND(VLOOKUP(MID($E35,4,3),'Wochentag F(WT)'!$B$7:$J$22,U$9,0),4)</f>
        <v>1.2430000000000001</v>
      </c>
      <c r="V35" s="275">
        <f>ROUND(VLOOKUP(MID($E35,4,3),'Wochentag F(WT)'!$B$7:$J$22,V$9,0),4)</f>
        <v>1.1275999999999999</v>
      </c>
      <c r="W35" s="275">
        <f>ROUND(VLOOKUP(MID($E35,4,3),'Wochentag F(WT)'!$B$7:$J$22,W$9,0),4)</f>
        <v>0.38769999999999999</v>
      </c>
      <c r="X35" s="276">
        <f t="shared" si="4"/>
        <v>0.46379999999999999</v>
      </c>
      <c r="Y35" s="292"/>
    </row>
    <row r="36" spans="2:25" s="143" customFormat="1">
      <c r="B36" s="144">
        <v>25</v>
      </c>
      <c r="C36" s="145" t="str">
        <f t="shared" si="0"/>
        <v>Netzgebiet Leitungspartner</v>
      </c>
      <c r="D36" s="62"/>
      <c r="E36" s="166"/>
      <c r="F36" s="296"/>
      <c r="H36" s="274"/>
      <c r="I36" s="274"/>
      <c r="J36" s="274"/>
      <c r="K36" s="274"/>
      <c r="L36" s="337"/>
      <c r="M36" s="274"/>
      <c r="N36" s="274"/>
      <c r="O36" s="274"/>
      <c r="P36" s="274"/>
      <c r="Q36" s="338"/>
      <c r="R36" s="275"/>
      <c r="S36" s="275"/>
      <c r="T36" s="275"/>
      <c r="U36" s="275"/>
      <c r="V36" s="275"/>
      <c r="W36" s="275"/>
      <c r="X36" s="276"/>
      <c r="Y36" s="292"/>
    </row>
    <row r="37" spans="2:25" s="143" customFormat="1">
      <c r="B37" s="144">
        <v>26</v>
      </c>
      <c r="C37" s="145" t="str">
        <f t="shared" si="0"/>
        <v>Netzgebiet Leitungspartner</v>
      </c>
      <c r="D37" s="62"/>
      <c r="E37" s="166"/>
      <c r="F37" s="296"/>
      <c r="H37" s="277"/>
      <c r="I37" s="277"/>
      <c r="J37" s="277"/>
      <c r="K37" s="277"/>
      <c r="L37" s="337"/>
      <c r="M37" s="277"/>
      <c r="N37" s="277"/>
      <c r="O37" s="277"/>
      <c r="P37" s="277"/>
      <c r="Q37" s="339"/>
      <c r="R37" s="278"/>
      <c r="S37" s="278"/>
      <c r="T37" s="278"/>
      <c r="U37" s="278"/>
      <c r="V37" s="278"/>
      <c r="W37" s="278"/>
      <c r="X37" s="279"/>
      <c r="Y37" s="292"/>
    </row>
    <row r="38" spans="2:25" s="143" customFormat="1">
      <c r="B38" s="144">
        <v>27</v>
      </c>
      <c r="C38" s="145" t="str">
        <f t="shared" si="0"/>
        <v>Netzgebiet Leitungspartner</v>
      </c>
      <c r="D38" s="62"/>
      <c r="E38" s="166"/>
      <c r="F38" s="296"/>
      <c r="H38" s="277"/>
      <c r="I38" s="277"/>
      <c r="J38" s="277"/>
      <c r="K38" s="277"/>
      <c r="L38" s="337"/>
      <c r="M38" s="277"/>
      <c r="N38" s="277"/>
      <c r="O38" s="277"/>
      <c r="P38" s="277"/>
      <c r="Q38" s="339"/>
      <c r="R38" s="278"/>
      <c r="S38" s="278"/>
      <c r="T38" s="278"/>
      <c r="U38" s="278"/>
      <c r="V38" s="278"/>
      <c r="W38" s="278"/>
      <c r="X38" s="279"/>
      <c r="Y38" s="292"/>
    </row>
    <row r="39" spans="2:25" s="143" customFormat="1">
      <c r="B39" s="144">
        <v>28</v>
      </c>
      <c r="C39" s="145" t="str">
        <f t="shared" si="0"/>
        <v>Netzgebiet Leitungspartner</v>
      </c>
      <c r="D39" s="62"/>
      <c r="E39" s="166"/>
      <c r="F39" s="296"/>
      <c r="H39" s="277"/>
      <c r="I39" s="277"/>
      <c r="J39" s="277"/>
      <c r="K39" s="277"/>
      <c r="L39" s="337"/>
      <c r="M39" s="277"/>
      <c r="N39" s="277"/>
      <c r="O39" s="277"/>
      <c r="P39" s="277"/>
      <c r="Q39" s="339"/>
      <c r="R39" s="278"/>
      <c r="S39" s="278"/>
      <c r="T39" s="278"/>
      <c r="U39" s="278"/>
      <c r="V39" s="278"/>
      <c r="W39" s="278"/>
      <c r="X39" s="279"/>
      <c r="Y39" s="292"/>
    </row>
    <row r="40" spans="2:25" s="143" customFormat="1">
      <c r="B40" s="144">
        <v>29</v>
      </c>
      <c r="C40" s="145" t="str">
        <f t="shared" si="0"/>
        <v>Netzgebiet Leitungspartner</v>
      </c>
      <c r="D40" s="62"/>
      <c r="E40" s="166"/>
      <c r="F40" s="296"/>
      <c r="H40" s="277"/>
      <c r="I40" s="277"/>
      <c r="J40" s="277"/>
      <c r="K40" s="277"/>
      <c r="L40" s="337"/>
      <c r="M40" s="277"/>
      <c r="N40" s="277"/>
      <c r="O40" s="277"/>
      <c r="P40" s="277"/>
      <c r="Q40" s="339"/>
      <c r="R40" s="278"/>
      <c r="S40" s="278"/>
      <c r="T40" s="278"/>
      <c r="U40" s="278"/>
      <c r="V40" s="278"/>
      <c r="W40" s="278"/>
      <c r="X40" s="279"/>
      <c r="Y40" s="292"/>
    </row>
    <row r="41" spans="2:25" s="143" customFormat="1">
      <c r="B41" s="144">
        <v>30</v>
      </c>
      <c r="C41" s="145" t="str">
        <f t="shared" si="0"/>
        <v>Netzgebiet Leitungspartner</v>
      </c>
      <c r="D41" s="62"/>
      <c r="E41" s="166"/>
      <c r="F41" s="296"/>
      <c r="H41" s="277"/>
      <c r="I41" s="277"/>
      <c r="J41" s="277"/>
      <c r="K41" s="277"/>
      <c r="L41" s="337"/>
      <c r="M41" s="277"/>
      <c r="N41" s="277"/>
      <c r="O41" s="277"/>
      <c r="P41" s="277"/>
      <c r="Q41" s="339"/>
      <c r="R41" s="278"/>
      <c r="S41" s="278"/>
      <c r="T41" s="278"/>
      <c r="U41" s="278"/>
      <c r="V41" s="278"/>
      <c r="W41" s="278"/>
      <c r="X41" s="279"/>
      <c r="Y41" s="292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R11:Y41 F11:F41 H11:K41 M11:P41">
    <cfRule type="expression" dxfId="12" priority="12">
      <formula>ISERROR(F11)</formula>
    </cfRule>
  </conditionalFormatting>
  <conditionalFormatting sqref="Y12:Y41 E12:F41">
    <cfRule type="duplicateValues" dxfId="11" priority="34"/>
  </conditionalFormatting>
  <conditionalFormatting sqref="L11:L30 L35:L41">
    <cfRule type="expression" dxfId="10" priority="3">
      <formula>ISERROR(L11)</formula>
    </cfRule>
  </conditionalFormatting>
  <conditionalFormatting sqref="Q11:Q41">
    <cfRule type="expression" dxfId="9" priority="2">
      <formula>ISERROR(Q11)</formula>
    </cfRule>
  </conditionalFormatting>
  <conditionalFormatting sqref="L31:L34">
    <cfRule type="expression" dxfId="8" priority="1">
      <formula>ISERROR(L31)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4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400-000001000000}"/>
  </dataValidations>
  <pageMargins left="0.25" right="0.25" top="0.75" bottom="0.75" header="0.3" footer="0.3"/>
  <pageSetup paperSize="9" scale="49" orientation="landscape" r:id="rId1"/>
  <ignoredErrors>
    <ignoredError sqref="L11" formula="1"/>
    <ignoredError sqref="H12:K23 C13:C33 C34:C41 Q13:X23 Q12:X12" unlockedFormula="1"/>
    <ignoredError sqref="L12:L23" formula="1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expression" priority="4" id="{ABDF3E5B-BFD3-46EF-865B-0AE47E3126EE}">
            <xm:f>IF('SLP-Verfahren L-Gas'!$D$23='SLP-Verfahren L-Gas'!$I$24,1,0)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4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400-000003000000}">
          <x14:formula1>
            <xm:f>'BDEW-Standard'!$B$3:$B$94</xm:f>
          </x14:formula1>
          <xm:sqref>E11 E36:E41</xm:sqref>
        </x14:dataValidation>
        <x14:dataValidation type="list" allowBlank="1" showInputMessage="1" showErrorMessage="1" xr:uid="{00000000-0002-0000-0400-000004000000}">
          <x14:formula1>
            <xm:f>'BDEW-Standard'!$B$3:$B$94</xm:f>
          </x14:formula1>
          <xm:sqref>E12:E26</xm:sqref>
        </x14:dataValidation>
        <x14:dataValidation type="list" errorStyle="information" allowBlank="1" showInputMessage="1" showErrorMessage="1" errorTitle="Achtung!" error="keine BDEW Nomenklatur" xr:uid="{1664EF73-C734-4FBC-B3DA-B30853E531B3}">
          <x14:formula1>
            <xm:f>'BDEW-Standard'!$B$3:$B$158</xm:f>
          </x14:formula1>
          <xm:sqref>E12:E35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>
    <tabColor rgb="FF00B050"/>
    <pageSetUpPr fitToPage="1"/>
  </sheetPr>
  <dimension ref="A1:AE35"/>
  <sheetViews>
    <sheetView showGridLines="0" zoomScale="70" zoomScaleNormal="70" workbookViewId="0">
      <selection activeCell="AE10" sqref="AE10"/>
    </sheetView>
  </sheetViews>
  <sheetFormatPr baseColWidth="10" defaultColWidth="0" defaultRowHeight="12.75" zeroHeight="1"/>
  <cols>
    <col min="1" max="1" width="2.85546875" style="75" customWidth="1"/>
    <col min="2" max="2" width="15.140625" style="75" customWidth="1"/>
    <col min="3" max="3" width="14.7109375" style="75" customWidth="1"/>
    <col min="4" max="4" width="5.85546875" style="75" hidden="1" customWidth="1"/>
    <col min="5" max="5" width="5.140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446</v>
      </c>
    </row>
    <row r="3" spans="2:30" ht="15" customHeight="1">
      <c r="B3" s="84"/>
    </row>
    <row r="4" spans="2:30" ht="15" customHeight="1">
      <c r="B4" s="85" t="s">
        <v>445</v>
      </c>
      <c r="C4" s="63" t="str">
        <f>Netzbetreiber!$D$9</f>
        <v>Leitungspartner GmbH</v>
      </c>
      <c r="D4" s="76"/>
      <c r="G4" s="76"/>
      <c r="I4" s="76"/>
      <c r="J4" s="77"/>
      <c r="M4" s="86" t="s">
        <v>537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444</v>
      </c>
      <c r="C5" s="64" t="str">
        <f>Netzbetreiber!$D$28</f>
        <v>Netzgebiet Leitungspartner</v>
      </c>
      <c r="D5" s="37"/>
      <c r="E5" s="76"/>
      <c r="F5" s="76"/>
      <c r="G5" s="76"/>
      <c r="I5" s="76"/>
      <c r="J5" s="76"/>
      <c r="K5" s="76"/>
      <c r="L5" s="76"/>
      <c r="M5" s="88" t="s">
        <v>507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442</v>
      </c>
      <c r="C6" s="63" t="str">
        <f>Netzbetreiber!$D$11</f>
        <v>9870116800003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9">
        <f>Netzbetreiber!$D$6</f>
        <v>44470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43" t="s">
        <v>458</v>
      </c>
      <c r="N8" s="344"/>
      <c r="O8" s="344"/>
      <c r="P8" s="344"/>
      <c r="Q8" s="344"/>
      <c r="R8" s="344"/>
      <c r="S8" s="344"/>
      <c r="T8" s="344"/>
      <c r="U8" s="344"/>
      <c r="V8" s="344"/>
      <c r="W8" s="344"/>
      <c r="X8" s="344"/>
      <c r="Y8" s="344"/>
      <c r="Z8" s="344"/>
      <c r="AA8" s="344"/>
      <c r="AB8" s="344"/>
      <c r="AC8" s="344"/>
      <c r="AD8" s="34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467</v>
      </c>
      <c r="N9" s="91" t="s">
        <v>371</v>
      </c>
      <c r="O9" s="92" t="s">
        <v>372</v>
      </c>
      <c r="P9" s="92" t="s">
        <v>373</v>
      </c>
      <c r="Q9" s="92" t="s">
        <v>374</v>
      </c>
      <c r="R9" s="92" t="s">
        <v>375</v>
      </c>
      <c r="S9" s="92" t="s">
        <v>376</v>
      </c>
      <c r="T9" s="92" t="s">
        <v>377</v>
      </c>
      <c r="U9" s="92" t="s">
        <v>378</v>
      </c>
      <c r="V9" s="92" t="s">
        <v>379</v>
      </c>
      <c r="W9" s="92" t="s">
        <v>380</v>
      </c>
      <c r="X9" s="92" t="s">
        <v>381</v>
      </c>
      <c r="Y9" s="92" t="s">
        <v>382</v>
      </c>
      <c r="Z9" s="92" t="s">
        <v>383</v>
      </c>
      <c r="AA9" s="92" t="s">
        <v>384</v>
      </c>
      <c r="AB9" s="92" t="s">
        <v>385</v>
      </c>
      <c r="AC9" s="93" t="s">
        <v>386</v>
      </c>
      <c r="AD9" s="93" t="s">
        <v>428</v>
      </c>
    </row>
    <row r="10" spans="2:30" ht="72" customHeight="1" thickBot="1">
      <c r="B10" s="348" t="s">
        <v>580</v>
      </c>
      <c r="C10" s="349"/>
      <c r="D10" s="94">
        <v>2</v>
      </c>
      <c r="E10" s="95" t="str">
        <f>IF(ISERROR(HLOOKUP(E$11,$M$9:$AD$33,$D10,0)),"",HLOOKUP(E$11,$M$9:$AD$33,$D10,0))</f>
        <v/>
      </c>
      <c r="F10" s="346" t="s">
        <v>397</v>
      </c>
      <c r="G10" s="346"/>
      <c r="H10" s="346"/>
      <c r="I10" s="346"/>
      <c r="J10" s="346"/>
      <c r="K10" s="346"/>
      <c r="L10" s="347"/>
      <c r="M10" s="96" t="s">
        <v>468</v>
      </c>
      <c r="N10" s="97" t="s">
        <v>469</v>
      </c>
      <c r="O10" s="98" t="s">
        <v>470</v>
      </c>
      <c r="P10" s="99" t="s">
        <v>471</v>
      </c>
      <c r="Q10" s="99" t="s">
        <v>472</v>
      </c>
      <c r="R10" s="99" t="s">
        <v>473</v>
      </c>
      <c r="S10" s="99" t="s">
        <v>474</v>
      </c>
      <c r="T10" s="99" t="s">
        <v>475</v>
      </c>
      <c r="U10" s="99" t="s">
        <v>476</v>
      </c>
      <c r="V10" s="99" t="s">
        <v>477</v>
      </c>
      <c r="W10" s="99" t="s">
        <v>478</v>
      </c>
      <c r="X10" s="99" t="s">
        <v>479</v>
      </c>
      <c r="Y10" s="99" t="s">
        <v>480</v>
      </c>
      <c r="Z10" s="99" t="s">
        <v>481</v>
      </c>
      <c r="AA10" s="99" t="s">
        <v>482</v>
      </c>
      <c r="AB10" s="99" t="s">
        <v>483</v>
      </c>
      <c r="AC10" s="100" t="s">
        <v>484</v>
      </c>
      <c r="AD10" s="101" t="s">
        <v>429</v>
      </c>
    </row>
    <row r="11" spans="2:30" ht="15.75" thickBot="1">
      <c r="B11" s="102" t="s">
        <v>420</v>
      </c>
      <c r="C11" s="103"/>
      <c r="D11" s="104">
        <v>3</v>
      </c>
      <c r="E11" s="105"/>
      <c r="F11" s="106" t="s">
        <v>388</v>
      </c>
      <c r="G11" s="107" t="s">
        <v>389</v>
      </c>
      <c r="H11" s="107" t="s">
        <v>390</v>
      </c>
      <c r="I11" s="107" t="s">
        <v>391</v>
      </c>
      <c r="J11" s="107" t="s">
        <v>392</v>
      </c>
      <c r="K11" s="107" t="s">
        <v>393</v>
      </c>
      <c r="L11" s="108" t="s">
        <v>394</v>
      </c>
      <c r="M11" s="71">
        <v>0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1</v>
      </c>
    </row>
    <row r="12" spans="2:30" ht="15">
      <c r="B12" s="109" t="s">
        <v>398</v>
      </c>
      <c r="C12" s="110"/>
      <c r="D12" s="111">
        <v>4</v>
      </c>
      <c r="E12" s="303">
        <f>MIN(SUMPRODUCT($M$11:$AD$11,M12:AD12),1)</f>
        <v>1</v>
      </c>
      <c r="F12" s="300" t="s">
        <v>394</v>
      </c>
      <c r="G12" s="78" t="s">
        <v>394</v>
      </c>
      <c r="H12" s="78" t="s">
        <v>394</v>
      </c>
      <c r="I12" s="78" t="s">
        <v>394</v>
      </c>
      <c r="J12" s="78" t="s">
        <v>394</v>
      </c>
      <c r="K12" s="78" t="s">
        <v>394</v>
      </c>
      <c r="L12" s="79" t="s">
        <v>394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399</v>
      </c>
      <c r="C13" s="117"/>
      <c r="D13" s="111">
        <v>5</v>
      </c>
      <c r="E13" s="304">
        <f t="shared" ref="E13:E33" si="0">MIN(SUMPRODUCT($M$11:$AD$11,M13:AD13),1)</f>
        <v>0</v>
      </c>
      <c r="F13" s="301" t="s">
        <v>394</v>
      </c>
      <c r="G13" s="80" t="s">
        <v>394</v>
      </c>
      <c r="H13" s="80" t="s">
        <v>394</v>
      </c>
      <c r="I13" s="80" t="s">
        <v>394</v>
      </c>
      <c r="J13" s="80" t="s">
        <v>394</v>
      </c>
      <c r="K13" s="80" t="s">
        <v>394</v>
      </c>
      <c r="L13" s="81" t="s">
        <v>394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400</v>
      </c>
      <c r="C14" s="117"/>
      <c r="D14" s="111">
        <v>6</v>
      </c>
      <c r="E14" s="304">
        <f t="shared" si="0"/>
        <v>1</v>
      </c>
      <c r="F14" s="301" t="s">
        <v>394</v>
      </c>
      <c r="G14" s="80" t="s">
        <v>401</v>
      </c>
      <c r="H14" s="80" t="s">
        <v>401</v>
      </c>
      <c r="I14" s="80" t="s">
        <v>401</v>
      </c>
      <c r="J14" s="80" t="s">
        <v>401</v>
      </c>
      <c r="K14" s="80" t="s">
        <v>401</v>
      </c>
      <c r="L14" s="81" t="s">
        <v>401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>
        <v>1</v>
      </c>
    </row>
    <row r="15" spans="2:30" ht="15">
      <c r="B15" s="116" t="s">
        <v>402</v>
      </c>
      <c r="C15" s="117"/>
      <c r="D15" s="111">
        <v>7</v>
      </c>
      <c r="E15" s="304">
        <f t="shared" si="0"/>
        <v>0</v>
      </c>
      <c r="F15" s="301" t="s">
        <v>401</v>
      </c>
      <c r="G15" s="80" t="s">
        <v>393</v>
      </c>
      <c r="H15" s="80" t="s">
        <v>401</v>
      </c>
      <c r="I15" s="80" t="s">
        <v>401</v>
      </c>
      <c r="J15" s="80" t="s">
        <v>401</v>
      </c>
      <c r="K15" s="80" t="s">
        <v>401</v>
      </c>
      <c r="L15" s="81" t="s">
        <v>401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414</v>
      </c>
      <c r="C16" s="117"/>
      <c r="D16" s="111">
        <v>8</v>
      </c>
      <c r="E16" s="304">
        <f t="shared" si="0"/>
        <v>1</v>
      </c>
      <c r="F16" s="301" t="s">
        <v>401</v>
      </c>
      <c r="G16" s="80" t="s">
        <v>401</v>
      </c>
      <c r="H16" s="80" t="s">
        <v>401</v>
      </c>
      <c r="I16" s="80" t="s">
        <v>401</v>
      </c>
      <c r="J16" s="80" t="s">
        <v>394</v>
      </c>
      <c r="K16" s="80" t="s">
        <v>401</v>
      </c>
      <c r="L16" s="81" t="s">
        <v>401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415</v>
      </c>
      <c r="C17" s="117"/>
      <c r="D17" s="111">
        <v>9</v>
      </c>
      <c r="E17" s="304">
        <f t="shared" si="0"/>
        <v>1</v>
      </c>
      <c r="F17" s="301" t="s">
        <v>401</v>
      </c>
      <c r="G17" s="80" t="s">
        <v>401</v>
      </c>
      <c r="H17" s="80" t="s">
        <v>401</v>
      </c>
      <c r="I17" s="80" t="s">
        <v>401</v>
      </c>
      <c r="J17" s="80" t="s">
        <v>401</v>
      </c>
      <c r="K17" s="80" t="s">
        <v>401</v>
      </c>
      <c r="L17" s="81" t="s">
        <v>394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416</v>
      </c>
      <c r="C18" s="117"/>
      <c r="D18" s="111">
        <v>10</v>
      </c>
      <c r="E18" s="304">
        <f t="shared" si="0"/>
        <v>1</v>
      </c>
      <c r="F18" s="301" t="s">
        <v>394</v>
      </c>
      <c r="G18" s="80" t="s">
        <v>401</v>
      </c>
      <c r="H18" s="80" t="s">
        <v>401</v>
      </c>
      <c r="I18" s="80" t="s">
        <v>401</v>
      </c>
      <c r="J18" s="80" t="s">
        <v>401</v>
      </c>
      <c r="K18" s="80" t="s">
        <v>401</v>
      </c>
      <c r="L18" s="81" t="s">
        <v>401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121" t="s">
        <v>403</v>
      </c>
      <c r="C19" s="117"/>
      <c r="D19" s="111">
        <v>11</v>
      </c>
      <c r="E19" s="304">
        <f t="shared" si="0"/>
        <v>1</v>
      </c>
      <c r="F19" s="301" t="s">
        <v>394</v>
      </c>
      <c r="G19" s="80" t="s">
        <v>394</v>
      </c>
      <c r="H19" s="80" t="s">
        <v>394</v>
      </c>
      <c r="I19" s="80" t="s">
        <v>394</v>
      </c>
      <c r="J19" s="80" t="s">
        <v>394</v>
      </c>
      <c r="K19" s="80" t="s">
        <v>394</v>
      </c>
      <c r="L19" s="81" t="s">
        <v>394</v>
      </c>
      <c r="M19" s="112">
        <v>1</v>
      </c>
      <c r="N19" s="118">
        <v>1</v>
      </c>
      <c r="O19" s="119">
        <v>1</v>
      </c>
      <c r="P19" s="119">
        <v>1</v>
      </c>
      <c r="Q19" s="119">
        <v>1</v>
      </c>
      <c r="R19" s="119">
        <v>1</v>
      </c>
      <c r="S19" s="119">
        <v>1</v>
      </c>
      <c r="T19" s="119">
        <v>1</v>
      </c>
      <c r="U19" s="119">
        <v>1</v>
      </c>
      <c r="V19" s="119">
        <v>1</v>
      </c>
      <c r="W19" s="119">
        <v>1</v>
      </c>
      <c r="X19" s="119">
        <v>1</v>
      </c>
      <c r="Y19" s="119">
        <v>1</v>
      </c>
      <c r="Z19" s="119">
        <v>1</v>
      </c>
      <c r="AA19" s="119">
        <v>1</v>
      </c>
      <c r="AB19" s="119">
        <v>1</v>
      </c>
      <c r="AC19" s="120">
        <v>1</v>
      </c>
      <c r="AD19" s="69">
        <v>1</v>
      </c>
    </row>
    <row r="20" spans="2:30" ht="15">
      <c r="B20" s="121" t="s">
        <v>646</v>
      </c>
      <c r="C20" s="117"/>
      <c r="D20" s="111">
        <v>12</v>
      </c>
      <c r="E20" s="304">
        <f t="shared" si="0"/>
        <v>1</v>
      </c>
      <c r="F20" s="301" t="s">
        <v>401</v>
      </c>
      <c r="G20" s="80" t="s">
        <v>401</v>
      </c>
      <c r="H20" s="80" t="s">
        <v>401</v>
      </c>
      <c r="I20" s="80" t="s">
        <v>394</v>
      </c>
      <c r="J20" s="80" t="s">
        <v>401</v>
      </c>
      <c r="K20" s="80" t="s">
        <v>401</v>
      </c>
      <c r="L20" s="81" t="s">
        <v>401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417</v>
      </c>
      <c r="C21" s="117"/>
      <c r="D21" s="111">
        <v>13</v>
      </c>
      <c r="E21" s="304">
        <f t="shared" si="0"/>
        <v>1</v>
      </c>
      <c r="F21" s="301" t="s">
        <v>401</v>
      </c>
      <c r="G21" s="80" t="s">
        <v>401</v>
      </c>
      <c r="H21" s="80" t="s">
        <v>401</v>
      </c>
      <c r="I21" s="80" t="s">
        <v>401</v>
      </c>
      <c r="J21" s="80" t="s">
        <v>401</v>
      </c>
      <c r="K21" s="80" t="s">
        <v>401</v>
      </c>
      <c r="L21" s="81" t="s">
        <v>394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418</v>
      </c>
      <c r="C22" s="117"/>
      <c r="D22" s="111">
        <v>14</v>
      </c>
      <c r="E22" s="304">
        <f t="shared" si="0"/>
        <v>1</v>
      </c>
      <c r="F22" s="301" t="s">
        <v>394</v>
      </c>
      <c r="G22" s="80" t="s">
        <v>401</v>
      </c>
      <c r="H22" s="80" t="s">
        <v>401</v>
      </c>
      <c r="I22" s="80" t="s">
        <v>401</v>
      </c>
      <c r="J22" s="80" t="s">
        <v>401</v>
      </c>
      <c r="K22" s="80" t="s">
        <v>401</v>
      </c>
      <c r="L22" s="81" t="s">
        <v>401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16" t="s">
        <v>419</v>
      </c>
      <c r="C23" s="117"/>
      <c r="D23" s="111">
        <v>15</v>
      </c>
      <c r="E23" s="304">
        <f t="shared" si="0"/>
        <v>1</v>
      </c>
      <c r="F23" s="301" t="s">
        <v>401</v>
      </c>
      <c r="G23" s="80" t="s">
        <v>401</v>
      </c>
      <c r="H23" s="80" t="s">
        <v>401</v>
      </c>
      <c r="I23" s="80" t="s">
        <v>394</v>
      </c>
      <c r="J23" s="80" t="s">
        <v>401</v>
      </c>
      <c r="K23" s="80" t="s">
        <v>401</v>
      </c>
      <c r="L23" s="81" t="s">
        <v>401</v>
      </c>
      <c r="M23" s="112"/>
      <c r="N23" s="118"/>
      <c r="O23" s="119"/>
      <c r="P23" s="119">
        <v>1</v>
      </c>
      <c r="Q23" s="119"/>
      <c r="R23" s="119">
        <v>1</v>
      </c>
      <c r="S23" s="119"/>
      <c r="T23" s="119">
        <v>1</v>
      </c>
      <c r="U23" s="119">
        <v>1</v>
      </c>
      <c r="V23" s="119">
        <v>1</v>
      </c>
      <c r="W23" s="119"/>
      <c r="X23" s="119"/>
      <c r="Y23" s="119"/>
      <c r="Z23" s="119">
        <v>1</v>
      </c>
      <c r="AA23" s="119"/>
      <c r="AB23" s="119"/>
      <c r="AC23" s="120"/>
      <c r="AD23" s="69">
        <v>1</v>
      </c>
    </row>
    <row r="24" spans="2:30" ht="15">
      <c r="B24" s="116" t="s">
        <v>404</v>
      </c>
      <c r="C24" s="117"/>
      <c r="D24" s="111">
        <v>16</v>
      </c>
      <c r="E24" s="304">
        <f t="shared" si="0"/>
        <v>0</v>
      </c>
      <c r="F24" s="301" t="s">
        <v>394</v>
      </c>
      <c r="G24" s="80" t="s">
        <v>394</v>
      </c>
      <c r="H24" s="80" t="s">
        <v>394</v>
      </c>
      <c r="I24" s="80" t="s">
        <v>394</v>
      </c>
      <c r="J24" s="80" t="s">
        <v>394</v>
      </c>
      <c r="K24" s="80" t="s">
        <v>394</v>
      </c>
      <c r="L24" s="81" t="s">
        <v>394</v>
      </c>
      <c r="M24" s="112"/>
      <c r="N24" s="118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20"/>
      <c r="AD24" s="69"/>
    </row>
    <row r="25" spans="2:30" ht="15">
      <c r="B25" s="116" t="s">
        <v>405</v>
      </c>
      <c r="C25" s="117"/>
      <c r="D25" s="111">
        <v>17</v>
      </c>
      <c r="E25" s="304">
        <f t="shared" si="0"/>
        <v>0</v>
      </c>
      <c r="F25" s="301" t="s">
        <v>394</v>
      </c>
      <c r="G25" s="80" t="s">
        <v>394</v>
      </c>
      <c r="H25" s="80" t="s">
        <v>394</v>
      </c>
      <c r="I25" s="80" t="s">
        <v>394</v>
      </c>
      <c r="J25" s="80" t="s">
        <v>394</v>
      </c>
      <c r="K25" s="80" t="s">
        <v>394</v>
      </c>
      <c r="L25" s="81" t="s">
        <v>394</v>
      </c>
      <c r="M25" s="112"/>
      <c r="N25" s="118"/>
      <c r="O25" s="119"/>
      <c r="P25" s="119">
        <v>1</v>
      </c>
      <c r="Q25" s="119"/>
      <c r="R25" s="119"/>
      <c r="S25" s="119"/>
      <c r="T25" s="119"/>
      <c r="U25" s="119"/>
      <c r="V25" s="119"/>
      <c r="W25" s="119"/>
      <c r="X25" s="119"/>
      <c r="Y25" s="119"/>
      <c r="Z25" s="119">
        <v>1</v>
      </c>
      <c r="AA25" s="119"/>
      <c r="AB25" s="119"/>
      <c r="AC25" s="120"/>
      <c r="AD25" s="69"/>
    </row>
    <row r="26" spans="2:30" ht="15">
      <c r="B26" s="121" t="s">
        <v>406</v>
      </c>
      <c r="C26" s="117"/>
      <c r="D26" s="111">
        <v>18</v>
      </c>
      <c r="E26" s="304">
        <f t="shared" si="0"/>
        <v>1</v>
      </c>
      <c r="F26" s="301" t="s">
        <v>394</v>
      </c>
      <c r="G26" s="80" t="s">
        <v>394</v>
      </c>
      <c r="H26" s="80" t="s">
        <v>394</v>
      </c>
      <c r="I26" s="80" t="s">
        <v>394</v>
      </c>
      <c r="J26" s="80" t="s">
        <v>394</v>
      </c>
      <c r="K26" s="80" t="s">
        <v>394</v>
      </c>
      <c r="L26" s="81" t="s">
        <v>394</v>
      </c>
      <c r="M26" s="112">
        <v>1</v>
      </c>
      <c r="N26" s="118">
        <v>1</v>
      </c>
      <c r="O26" s="119">
        <v>1</v>
      </c>
      <c r="P26" s="119">
        <v>1</v>
      </c>
      <c r="Q26" s="119">
        <v>1</v>
      </c>
      <c r="R26" s="119">
        <v>1</v>
      </c>
      <c r="S26" s="119">
        <v>1</v>
      </c>
      <c r="T26" s="119">
        <v>1</v>
      </c>
      <c r="U26" s="119">
        <v>1</v>
      </c>
      <c r="V26" s="119">
        <v>1</v>
      </c>
      <c r="W26" s="119">
        <v>1</v>
      </c>
      <c r="X26" s="119">
        <v>1</v>
      </c>
      <c r="Y26" s="119">
        <v>1</v>
      </c>
      <c r="Z26" s="119">
        <v>1</v>
      </c>
      <c r="AA26" s="119">
        <v>1</v>
      </c>
      <c r="AB26" s="119">
        <v>1</v>
      </c>
      <c r="AC26" s="120">
        <v>1</v>
      </c>
      <c r="AD26" s="69">
        <v>1</v>
      </c>
    </row>
    <row r="27" spans="2:30" ht="15">
      <c r="B27" s="116" t="s">
        <v>407</v>
      </c>
      <c r="C27" s="117"/>
      <c r="D27" s="111">
        <v>19</v>
      </c>
      <c r="E27" s="304">
        <f t="shared" si="0"/>
        <v>0</v>
      </c>
      <c r="F27" s="301" t="s">
        <v>394</v>
      </c>
      <c r="G27" s="80" t="s">
        <v>394</v>
      </c>
      <c r="H27" s="80" t="s">
        <v>394</v>
      </c>
      <c r="I27" s="80" t="s">
        <v>394</v>
      </c>
      <c r="J27" s="80" t="s">
        <v>394</v>
      </c>
      <c r="K27" s="80" t="s">
        <v>394</v>
      </c>
      <c r="L27" s="81" t="s">
        <v>394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>
        <v>1</v>
      </c>
      <c r="Y27" s="119">
        <v>1</v>
      </c>
      <c r="Z27" s="119"/>
      <c r="AA27" s="119">
        <v>1</v>
      </c>
      <c r="AB27" s="119">
        <v>1</v>
      </c>
      <c r="AC27" s="120">
        <v>1</v>
      </c>
      <c r="AD27" s="69"/>
    </row>
    <row r="28" spans="2:30" ht="15">
      <c r="B28" s="116" t="s">
        <v>408</v>
      </c>
      <c r="C28" s="117"/>
      <c r="D28" s="111">
        <v>20</v>
      </c>
      <c r="E28" s="304">
        <f t="shared" si="0"/>
        <v>1</v>
      </c>
      <c r="F28" s="301" t="s">
        <v>394</v>
      </c>
      <c r="G28" s="80" t="s">
        <v>394</v>
      </c>
      <c r="H28" s="80" t="s">
        <v>394</v>
      </c>
      <c r="I28" s="80" t="s">
        <v>394</v>
      </c>
      <c r="J28" s="80" t="s">
        <v>394</v>
      </c>
      <c r="K28" s="80" t="s">
        <v>394</v>
      </c>
      <c r="L28" s="81" t="s">
        <v>394</v>
      </c>
      <c r="M28" s="112"/>
      <c r="N28" s="118"/>
      <c r="O28" s="119"/>
      <c r="P28" s="119">
        <v>1</v>
      </c>
      <c r="Q28" s="119"/>
      <c r="R28" s="119"/>
      <c r="S28" s="119"/>
      <c r="T28" s="119">
        <v>1</v>
      </c>
      <c r="U28" s="119">
        <v>1</v>
      </c>
      <c r="V28" s="119">
        <v>1</v>
      </c>
      <c r="W28" s="119"/>
      <c r="X28" s="119"/>
      <c r="Y28" s="119"/>
      <c r="Z28" s="119">
        <v>1</v>
      </c>
      <c r="AA28" s="119"/>
      <c r="AB28" s="119"/>
      <c r="AC28" s="120"/>
      <c r="AD28" s="69">
        <v>1</v>
      </c>
    </row>
    <row r="29" spans="2:30" ht="15">
      <c r="B29" s="116" t="s">
        <v>409</v>
      </c>
      <c r="C29" s="117"/>
      <c r="D29" s="111">
        <v>21</v>
      </c>
      <c r="E29" s="304">
        <f t="shared" si="0"/>
        <v>0</v>
      </c>
      <c r="F29" s="301" t="s">
        <v>401</v>
      </c>
      <c r="G29" s="80" t="s">
        <v>401</v>
      </c>
      <c r="H29" s="80" t="s">
        <v>394</v>
      </c>
      <c r="I29" s="80" t="s">
        <v>401</v>
      </c>
      <c r="J29" s="80" t="s">
        <v>401</v>
      </c>
      <c r="K29" s="80" t="s">
        <v>401</v>
      </c>
      <c r="L29" s="81" t="s">
        <v>401</v>
      </c>
      <c r="M29" s="112"/>
      <c r="N29" s="118"/>
      <c r="O29" s="119"/>
      <c r="P29" s="119"/>
      <c r="Q29" s="119"/>
      <c r="R29" s="119"/>
      <c r="S29" s="119"/>
      <c r="T29" s="119"/>
      <c r="U29" s="119"/>
      <c r="V29" s="119"/>
      <c r="W29" s="119"/>
      <c r="X29" s="119">
        <v>1</v>
      </c>
      <c r="Y29" s="119"/>
      <c r="Z29" s="119"/>
      <c r="AA29" s="119"/>
      <c r="AB29" s="119"/>
      <c r="AC29" s="120"/>
      <c r="AD29" s="69"/>
    </row>
    <row r="30" spans="2:30" ht="15">
      <c r="B30" s="116" t="s">
        <v>410</v>
      </c>
      <c r="C30" s="117"/>
      <c r="D30" s="111">
        <v>22</v>
      </c>
      <c r="E30" s="304">
        <f t="shared" si="0"/>
        <v>1</v>
      </c>
      <c r="F30" s="301" t="s">
        <v>393</v>
      </c>
      <c r="G30" s="80" t="s">
        <v>393</v>
      </c>
      <c r="H30" s="80" t="s">
        <v>393</v>
      </c>
      <c r="I30" s="80" t="s">
        <v>393</v>
      </c>
      <c r="J30" s="80" t="s">
        <v>393</v>
      </c>
      <c r="K30" s="80" t="s">
        <v>393</v>
      </c>
      <c r="L30" s="81" t="s">
        <v>394</v>
      </c>
      <c r="M30" s="112"/>
      <c r="N30" s="118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20"/>
      <c r="AD30" s="69">
        <v>1</v>
      </c>
    </row>
    <row r="31" spans="2:30" ht="15">
      <c r="B31" s="121" t="s">
        <v>411</v>
      </c>
      <c r="C31" s="117"/>
      <c r="D31" s="111">
        <v>23</v>
      </c>
      <c r="E31" s="304">
        <f t="shared" si="0"/>
        <v>1</v>
      </c>
      <c r="F31" s="301" t="s">
        <v>394</v>
      </c>
      <c r="G31" s="80" t="s">
        <v>394</v>
      </c>
      <c r="H31" s="80" t="s">
        <v>394</v>
      </c>
      <c r="I31" s="80" t="s">
        <v>394</v>
      </c>
      <c r="J31" s="80" t="s">
        <v>394</v>
      </c>
      <c r="K31" s="80" t="s">
        <v>394</v>
      </c>
      <c r="L31" s="81" t="s">
        <v>394</v>
      </c>
      <c r="M31" s="112">
        <v>1</v>
      </c>
      <c r="N31" s="118">
        <v>1</v>
      </c>
      <c r="O31" s="119">
        <v>1</v>
      </c>
      <c r="P31" s="119">
        <v>1</v>
      </c>
      <c r="Q31" s="119">
        <v>1</v>
      </c>
      <c r="R31" s="119">
        <v>1</v>
      </c>
      <c r="S31" s="119">
        <v>1</v>
      </c>
      <c r="T31" s="119">
        <v>1</v>
      </c>
      <c r="U31" s="119">
        <v>1</v>
      </c>
      <c r="V31" s="119">
        <v>1</v>
      </c>
      <c r="W31" s="119">
        <v>1</v>
      </c>
      <c r="X31" s="119">
        <v>1</v>
      </c>
      <c r="Y31" s="119">
        <v>1</v>
      </c>
      <c r="Z31" s="119">
        <v>1</v>
      </c>
      <c r="AA31" s="119">
        <v>1</v>
      </c>
      <c r="AB31" s="119">
        <v>1</v>
      </c>
      <c r="AC31" s="120">
        <v>1</v>
      </c>
      <c r="AD31" s="69">
        <v>1</v>
      </c>
    </row>
    <row r="32" spans="2:30" ht="15">
      <c r="B32" s="121" t="s">
        <v>412</v>
      </c>
      <c r="C32" s="117"/>
      <c r="D32" s="111">
        <v>24</v>
      </c>
      <c r="E32" s="304">
        <f t="shared" si="0"/>
        <v>1</v>
      </c>
      <c r="F32" s="301" t="s">
        <v>394</v>
      </c>
      <c r="G32" s="80" t="s">
        <v>394</v>
      </c>
      <c r="H32" s="80" t="s">
        <v>394</v>
      </c>
      <c r="I32" s="80" t="s">
        <v>394</v>
      </c>
      <c r="J32" s="80" t="s">
        <v>394</v>
      </c>
      <c r="K32" s="80" t="s">
        <v>394</v>
      </c>
      <c r="L32" s="81" t="s">
        <v>394</v>
      </c>
      <c r="M32" s="112">
        <v>1</v>
      </c>
      <c r="N32" s="118">
        <v>1</v>
      </c>
      <c r="O32" s="119">
        <v>1</v>
      </c>
      <c r="P32" s="119">
        <v>1</v>
      </c>
      <c r="Q32" s="119">
        <v>1</v>
      </c>
      <c r="R32" s="119">
        <v>1</v>
      </c>
      <c r="S32" s="119">
        <v>1</v>
      </c>
      <c r="T32" s="119">
        <v>1</v>
      </c>
      <c r="U32" s="119">
        <v>1</v>
      </c>
      <c r="V32" s="119">
        <v>1</v>
      </c>
      <c r="W32" s="119">
        <v>1</v>
      </c>
      <c r="X32" s="119">
        <v>1</v>
      </c>
      <c r="Y32" s="119">
        <v>1</v>
      </c>
      <c r="Z32" s="119">
        <v>1</v>
      </c>
      <c r="AA32" s="119">
        <v>1</v>
      </c>
      <c r="AB32" s="119">
        <v>1</v>
      </c>
      <c r="AC32" s="120">
        <v>1</v>
      </c>
      <c r="AD32" s="69">
        <v>1</v>
      </c>
    </row>
    <row r="33" spans="2:30" ht="15.75" thickBot="1">
      <c r="B33" s="122" t="s">
        <v>413</v>
      </c>
      <c r="C33" s="123"/>
      <c r="D33" s="124">
        <v>25</v>
      </c>
      <c r="E33" s="305">
        <f t="shared" si="0"/>
        <v>1</v>
      </c>
      <c r="F33" s="302" t="s">
        <v>393</v>
      </c>
      <c r="G33" s="82" t="s">
        <v>393</v>
      </c>
      <c r="H33" s="82" t="s">
        <v>393</v>
      </c>
      <c r="I33" s="82" t="s">
        <v>393</v>
      </c>
      <c r="J33" s="82" t="s">
        <v>393</v>
      </c>
      <c r="K33" s="82" t="s">
        <v>393</v>
      </c>
      <c r="L33" s="83" t="s">
        <v>394</v>
      </c>
      <c r="M33" s="112"/>
      <c r="N33" s="125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7"/>
      <c r="AD33" s="70">
        <v>1</v>
      </c>
    </row>
    <row r="34" spans="2:30"/>
    <row r="35" spans="2:30"/>
  </sheetData>
  <sheetProtection sheet="1" objects="1" scenarios="1"/>
  <mergeCells count="3">
    <mergeCell ref="M8:AD8"/>
    <mergeCell ref="F10:L10"/>
    <mergeCell ref="B10:C10"/>
  </mergeCells>
  <conditionalFormatting sqref="E12:E33">
    <cfRule type="expression" dxfId="5" priority="9">
      <formula>IF(E$11="NB",1,0)</formula>
    </cfRule>
  </conditionalFormatting>
  <conditionalFormatting sqref="F12:L33">
    <cfRule type="expression" dxfId="4" priority="6">
      <formula>IF($E12=1,1,0)</formula>
    </cfRule>
  </conditionalFormatting>
  <conditionalFormatting sqref="M12:AD33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500-000000000000}">
      <formula1>$M$9:$AD$9</formula1>
    </dataValidation>
    <dataValidation type="list" allowBlank="1" showInputMessage="1" showErrorMessage="1" sqref="M11:AD11" xr:uid="{00000000-0002-0000-0500-000001000000}">
      <formula1>"1,0"</formula1>
    </dataValidation>
    <dataValidation type="list" allowBlank="1" showInputMessage="1" showErrorMessage="1" sqref="AD12:AD33" xr:uid="{00000000-0002-0000-0500-000002000000}">
      <formula1>"1, "</formula1>
    </dataValidation>
    <dataValidation type="list" allowBlank="1" showInputMessage="1" showErrorMessage="1" sqref="F12:L33" xr:uid="{00000000-0002-0000-05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topLeftCell="A119" zoomScale="80" zoomScaleNormal="80" workbookViewId="0">
      <selection activeCell="B132" sqref="B132"/>
    </sheetView>
  </sheetViews>
  <sheetFormatPr baseColWidth="10" defaultRowHeight="15"/>
  <cols>
    <col min="1" max="3" width="11.42578125" style="128"/>
    <col min="4" max="4" width="19.85546875" style="128" customWidth="1"/>
    <col min="5" max="9" width="16" style="128" customWidth="1"/>
    <col min="10" max="10" width="15.140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2" t="s">
        <v>346</v>
      </c>
      <c r="B1" s="213">
        <v>42173</v>
      </c>
      <c r="D1" s="131" t="s">
        <v>454</v>
      </c>
      <c r="F1" s="214" t="s">
        <v>543</v>
      </c>
      <c r="N1" s="215"/>
    </row>
    <row r="2" spans="1:14" ht="25.5">
      <c r="A2" s="216" t="s">
        <v>270</v>
      </c>
      <c r="B2" s="217" t="s">
        <v>145</v>
      </c>
      <c r="C2" s="218" t="s">
        <v>147</v>
      </c>
      <c r="D2" s="219" t="s">
        <v>148</v>
      </c>
      <c r="E2" s="220" t="s">
        <v>0</v>
      </c>
      <c r="F2" s="220" t="s">
        <v>1</v>
      </c>
      <c r="G2" s="220" t="s">
        <v>2</v>
      </c>
      <c r="H2" s="220" t="s">
        <v>3</v>
      </c>
      <c r="I2" s="221" t="s">
        <v>69</v>
      </c>
      <c r="J2" s="220" t="s">
        <v>149</v>
      </c>
      <c r="K2" s="220" t="s">
        <v>150</v>
      </c>
      <c r="L2" s="220" t="s">
        <v>151</v>
      </c>
      <c r="M2" s="222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3" t="str">
        <f>IF(A3="SLP-TUM",LEFT(D3,3),"")&amp;IF(A3="SLP-FfE",MID(#REF!,2,1)&amp;MID(#REF!,1,1)&amp;MID(#REF!,3,1),"")</f>
        <v>D13</v>
      </c>
      <c r="D3" s="224" t="s">
        <v>152</v>
      </c>
      <c r="E3" s="306">
        <v>3.0469694600000001</v>
      </c>
      <c r="F3" s="307">
        <v>-37.183314129999999</v>
      </c>
      <c r="G3" s="306">
        <v>5.6727846619999998</v>
      </c>
      <c r="H3" s="306">
        <v>9.6193059999999997E-2</v>
      </c>
      <c r="I3" s="308">
        <v>40</v>
      </c>
      <c r="J3" s="309">
        <v>0</v>
      </c>
      <c r="K3" s="309">
        <v>0</v>
      </c>
      <c r="L3" s="309">
        <v>0</v>
      </c>
      <c r="M3" s="310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28" t="str">
        <f t="shared" ref="C4:C67" si="3">IF(A4="SLP-TUM",LEFT(D4,3),"")&amp;IF(A4="SLP-FfE",MID(D1,2,1)&amp;MID(D1,1,1)&amp;MID(D1,3,1),"")</f>
        <v>D14</v>
      </c>
      <c r="D4" s="224" t="s">
        <v>153</v>
      </c>
      <c r="E4" s="306">
        <v>3.1850191300000001</v>
      </c>
      <c r="F4" s="306">
        <v>-37.412415490000001</v>
      </c>
      <c r="G4" s="306">
        <v>6.1723178729999999</v>
      </c>
      <c r="H4" s="306">
        <v>7.6109594000000003E-2</v>
      </c>
      <c r="I4" s="308">
        <v>40</v>
      </c>
      <c r="J4" s="309">
        <v>0</v>
      </c>
      <c r="K4" s="309">
        <v>0</v>
      </c>
      <c r="L4" s="309">
        <v>0</v>
      </c>
      <c r="M4" s="310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28" t="str">
        <f t="shared" si="3"/>
        <v>D15</v>
      </c>
      <c r="D5" s="224" t="s">
        <v>154</v>
      </c>
      <c r="E5" s="306">
        <v>3.3456666720000001</v>
      </c>
      <c r="F5" s="306">
        <v>-37.52683159</v>
      </c>
      <c r="G5" s="306">
        <v>6.4328936829999996</v>
      </c>
      <c r="H5" s="306">
        <v>5.6256618000000001E-2</v>
      </c>
      <c r="I5" s="308">
        <v>40</v>
      </c>
      <c r="J5" s="309">
        <v>0</v>
      </c>
      <c r="K5" s="309">
        <v>0</v>
      </c>
      <c r="L5" s="309">
        <v>0</v>
      </c>
      <c r="M5" s="310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28" t="str">
        <f t="shared" si="3"/>
        <v>1D3</v>
      </c>
      <c r="D6" s="224" t="s">
        <v>155</v>
      </c>
      <c r="E6" s="311">
        <v>1.6209544222121799</v>
      </c>
      <c r="F6" s="311">
        <v>-37.183314129999999</v>
      </c>
      <c r="G6" s="311">
        <v>5.6727846619999998</v>
      </c>
      <c r="H6" s="311">
        <v>7.16431179426293E-2</v>
      </c>
      <c r="I6" s="312">
        <v>40</v>
      </c>
      <c r="J6" s="313">
        <v>-4.9570015603147999E-2</v>
      </c>
      <c r="K6" s="313">
        <v>0.84010145808052905</v>
      </c>
      <c r="L6" s="313">
        <v>-2.20902646706885E-3</v>
      </c>
      <c r="M6" s="314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28" t="str">
        <f t="shared" si="3"/>
        <v>1D4</v>
      </c>
      <c r="D7" s="224" t="s">
        <v>156</v>
      </c>
      <c r="E7" s="315">
        <v>1.3819663042902499</v>
      </c>
      <c r="F7" s="315">
        <v>-37.412415490000001</v>
      </c>
      <c r="G7" s="315">
        <v>6.1723178729999999</v>
      </c>
      <c r="H7" s="315">
        <v>3.9628356395288999E-2</v>
      </c>
      <c r="I7" s="316">
        <v>40</v>
      </c>
      <c r="J7" s="317">
        <v>-6.7215872937749402E-2</v>
      </c>
      <c r="K7" s="317">
        <v>1.1167138385159201</v>
      </c>
      <c r="L7" s="317">
        <v>-1.9981647687711602E-3</v>
      </c>
      <c r="M7" s="318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28" t="str">
        <f t="shared" si="3"/>
        <v>D23</v>
      </c>
      <c r="D8" s="224" t="s">
        <v>157</v>
      </c>
      <c r="E8" s="306">
        <v>2.387761791</v>
      </c>
      <c r="F8" s="306">
        <v>-34.721360509999997</v>
      </c>
      <c r="G8" s="306">
        <v>5.8164304019999999</v>
      </c>
      <c r="H8" s="306">
        <v>0.120819368</v>
      </c>
      <c r="I8" s="308">
        <v>40</v>
      </c>
      <c r="J8" s="309">
        <v>0</v>
      </c>
      <c r="K8" s="309">
        <v>0</v>
      </c>
      <c r="L8" s="309">
        <v>0</v>
      </c>
      <c r="M8" s="310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28" t="str">
        <f t="shared" si="3"/>
        <v>D24</v>
      </c>
      <c r="D9" s="224" t="s">
        <v>158</v>
      </c>
      <c r="E9" s="306">
        <v>2.5187775189999999</v>
      </c>
      <c r="F9" s="306">
        <v>-35.033375419999999</v>
      </c>
      <c r="G9" s="306">
        <v>6.224063396</v>
      </c>
      <c r="H9" s="306">
        <v>0.10107817199999999</v>
      </c>
      <c r="I9" s="308">
        <v>40</v>
      </c>
      <c r="J9" s="309">
        <v>0</v>
      </c>
      <c r="K9" s="309">
        <v>0</v>
      </c>
      <c r="L9" s="309">
        <v>0</v>
      </c>
      <c r="M9" s="310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28" t="str">
        <f t="shared" si="3"/>
        <v>D25</v>
      </c>
      <c r="D10" s="224" t="s">
        <v>159</v>
      </c>
      <c r="E10" s="306">
        <v>2.656440592</v>
      </c>
      <c r="F10" s="306">
        <v>-35.251692669999997</v>
      </c>
      <c r="G10" s="306">
        <v>6.5182658619999998</v>
      </c>
      <c r="H10" s="306">
        <v>8.1205866000000002E-2</v>
      </c>
      <c r="I10" s="308">
        <v>40</v>
      </c>
      <c r="J10" s="309">
        <v>0</v>
      </c>
      <c r="K10" s="309">
        <v>0</v>
      </c>
      <c r="L10" s="309">
        <v>0</v>
      </c>
      <c r="M10" s="310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28" t="str">
        <f t="shared" si="3"/>
        <v>2D3</v>
      </c>
      <c r="D11" s="224" t="s">
        <v>160</v>
      </c>
      <c r="E11" s="311">
        <v>1.2328654654123199</v>
      </c>
      <c r="F11" s="311">
        <v>-34.721360509999997</v>
      </c>
      <c r="G11" s="311">
        <v>5.8164304019999999</v>
      </c>
      <c r="H11" s="311">
        <v>8.7335193020600194E-2</v>
      </c>
      <c r="I11" s="312">
        <v>40</v>
      </c>
      <c r="J11" s="313">
        <v>-4.0928399400390697E-2</v>
      </c>
      <c r="K11" s="313">
        <v>0.76729203945074098</v>
      </c>
      <c r="L11" s="313">
        <v>-2.23202741619469E-3</v>
      </c>
      <c r="M11" s="314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28" t="str">
        <f t="shared" si="3"/>
        <v>2D4</v>
      </c>
      <c r="D12" s="224" t="s">
        <v>161</v>
      </c>
      <c r="E12" s="315">
        <v>1.0443537680583199</v>
      </c>
      <c r="F12" s="315">
        <v>-35.033375419999999</v>
      </c>
      <c r="G12" s="315">
        <v>6.224063396</v>
      </c>
      <c r="H12" s="315">
        <v>5.0291716040989698E-2</v>
      </c>
      <c r="I12" s="316">
        <v>40</v>
      </c>
      <c r="J12" s="317">
        <v>-5.3583022235768898E-2</v>
      </c>
      <c r="K12" s="317">
        <v>0.99959009039973401</v>
      </c>
      <c r="L12" s="317">
        <v>-2.17584483209612E-3</v>
      </c>
      <c r="M12" s="318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28" t="str">
        <f t="shared" si="3"/>
        <v>HK3</v>
      </c>
      <c r="D13" s="334" t="s">
        <v>649</v>
      </c>
      <c r="E13" s="306">
        <v>0.40409319999999999</v>
      </c>
      <c r="F13" s="306">
        <v>-24.439296800000001</v>
      </c>
      <c r="G13" s="306">
        <v>6.5718174999999999</v>
      </c>
      <c r="H13" s="306">
        <v>0.71077100000000004</v>
      </c>
      <c r="I13" s="308">
        <v>40</v>
      </c>
      <c r="J13" s="309">
        <v>0</v>
      </c>
      <c r="K13" s="309">
        <v>0</v>
      </c>
      <c r="L13" s="309">
        <v>0</v>
      </c>
      <c r="M13" s="310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28" t="str">
        <f t="shared" si="3"/>
        <v>MK1</v>
      </c>
      <c r="D14" s="224" t="s">
        <v>162</v>
      </c>
      <c r="E14" s="306">
        <v>1.8644533640000001</v>
      </c>
      <c r="F14" s="306">
        <v>-30.707163250000001</v>
      </c>
      <c r="G14" s="306">
        <v>6.4626937309999999</v>
      </c>
      <c r="H14" s="306">
        <v>0.104833866</v>
      </c>
      <c r="I14" s="308">
        <v>40</v>
      </c>
      <c r="J14" s="309">
        <v>0</v>
      </c>
      <c r="K14" s="309">
        <v>0</v>
      </c>
      <c r="L14" s="309">
        <v>0</v>
      </c>
      <c r="M14" s="310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28" t="str">
        <f t="shared" si="3"/>
        <v>MK2</v>
      </c>
      <c r="D15" s="224" t="s">
        <v>163</v>
      </c>
      <c r="E15" s="306">
        <v>2.2908183860000002</v>
      </c>
      <c r="F15" s="306">
        <v>-33.147686729999997</v>
      </c>
      <c r="G15" s="306">
        <v>6.3714765040000003</v>
      </c>
      <c r="H15" s="306">
        <v>8.1002321000000002E-2</v>
      </c>
      <c r="I15" s="308">
        <v>40</v>
      </c>
      <c r="J15" s="309">
        <v>0</v>
      </c>
      <c r="K15" s="309">
        <v>0</v>
      </c>
      <c r="L15" s="309">
        <v>0</v>
      </c>
      <c r="M15" s="310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28" t="str">
        <f t="shared" si="3"/>
        <v>MK3</v>
      </c>
      <c r="D16" s="224" t="s">
        <v>164</v>
      </c>
      <c r="E16" s="306">
        <v>2.7882423940000001</v>
      </c>
      <c r="F16" s="306">
        <v>-34.880613019999998</v>
      </c>
      <c r="G16" s="306">
        <v>6.5951899220000003</v>
      </c>
      <c r="H16" s="306">
        <v>5.4032911000000003E-2</v>
      </c>
      <c r="I16" s="308">
        <v>40</v>
      </c>
      <c r="J16" s="309">
        <v>0</v>
      </c>
      <c r="K16" s="309">
        <v>0</v>
      </c>
      <c r="L16" s="309">
        <v>0</v>
      </c>
      <c r="M16" s="310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28" t="str">
        <f t="shared" si="3"/>
        <v>MK4</v>
      </c>
      <c r="D17" s="224" t="s">
        <v>165</v>
      </c>
      <c r="E17" s="306">
        <v>3.117724811</v>
      </c>
      <c r="F17" s="306">
        <v>-35.871506220000001</v>
      </c>
      <c r="G17" s="306">
        <v>7.5186828869999998</v>
      </c>
      <c r="H17" s="306">
        <v>3.4330092999999999E-2</v>
      </c>
      <c r="I17" s="308">
        <v>40</v>
      </c>
      <c r="J17" s="309">
        <v>0</v>
      </c>
      <c r="K17" s="309">
        <v>0</v>
      </c>
      <c r="L17" s="309">
        <v>0</v>
      </c>
      <c r="M17" s="310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28" t="str">
        <f t="shared" si="3"/>
        <v>MK5</v>
      </c>
      <c r="D18" s="224" t="s">
        <v>166</v>
      </c>
      <c r="E18" s="306">
        <v>3.5862355250000002</v>
      </c>
      <c r="F18" s="306">
        <v>-37.080299349999997</v>
      </c>
      <c r="G18" s="306">
        <v>8.2420571759999994</v>
      </c>
      <c r="H18" s="306">
        <v>1.4600757000000001E-2</v>
      </c>
      <c r="I18" s="308">
        <v>40</v>
      </c>
      <c r="J18" s="309">
        <v>0</v>
      </c>
      <c r="K18" s="309">
        <v>0</v>
      </c>
      <c r="L18" s="309">
        <v>0</v>
      </c>
      <c r="M18" s="310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28" t="str">
        <f t="shared" si="3"/>
        <v>KM3</v>
      </c>
      <c r="D19" s="224" t="s">
        <v>167</v>
      </c>
      <c r="E19" s="311">
        <v>1.42024191542431</v>
      </c>
      <c r="F19" s="311">
        <v>-34.880613019999998</v>
      </c>
      <c r="G19" s="311">
        <v>6.5951899220000003</v>
      </c>
      <c r="H19" s="311">
        <v>3.8531702714088997E-2</v>
      </c>
      <c r="I19" s="312">
        <v>40</v>
      </c>
      <c r="J19" s="313">
        <v>-5.2108424079363599E-2</v>
      </c>
      <c r="K19" s="313">
        <v>0.86479187369647303</v>
      </c>
      <c r="L19" s="313">
        <v>-1.43692105046127E-3</v>
      </c>
      <c r="M19" s="314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28" t="str">
        <f t="shared" si="3"/>
        <v>KM4</v>
      </c>
      <c r="D20" s="224" t="s">
        <v>168</v>
      </c>
      <c r="E20" s="315">
        <v>1.3284912834142599</v>
      </c>
      <c r="F20" s="315">
        <v>-35.871506220000001</v>
      </c>
      <c r="G20" s="315">
        <v>7.5186828869999998</v>
      </c>
      <c r="H20" s="315">
        <v>1.7554042928377402E-2</v>
      </c>
      <c r="I20" s="316">
        <v>40</v>
      </c>
      <c r="J20" s="317">
        <v>-7.5898278738419894E-2</v>
      </c>
      <c r="K20" s="317">
        <v>1.1942554985979099</v>
      </c>
      <c r="L20" s="317">
        <v>-8.9798095264275E-4</v>
      </c>
      <c r="M20" s="318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28" t="str">
        <f t="shared" si="3"/>
        <v>HA1</v>
      </c>
      <c r="D21" s="224" t="s">
        <v>169</v>
      </c>
      <c r="E21" s="306">
        <v>2.3742827709999998</v>
      </c>
      <c r="F21" s="306">
        <v>-34.759550140000002</v>
      </c>
      <c r="G21" s="306">
        <v>5.9987036829999996</v>
      </c>
      <c r="H21" s="306">
        <v>0.149441144</v>
      </c>
      <c r="I21" s="308">
        <v>40</v>
      </c>
      <c r="J21" s="309">
        <v>0</v>
      </c>
      <c r="K21" s="309">
        <v>0</v>
      </c>
      <c r="L21" s="309">
        <v>0</v>
      </c>
      <c r="M21" s="310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28" t="str">
        <f t="shared" si="3"/>
        <v>HA2</v>
      </c>
      <c r="D22" s="224" t="s">
        <v>170</v>
      </c>
      <c r="E22" s="306">
        <v>2.8544748530000001</v>
      </c>
      <c r="F22" s="306">
        <v>-35.629423080000002</v>
      </c>
      <c r="G22" s="306">
        <v>7.0058264430000001</v>
      </c>
      <c r="H22" s="306">
        <v>0.11647722100000001</v>
      </c>
      <c r="I22" s="308">
        <v>40</v>
      </c>
      <c r="J22" s="309">
        <v>0</v>
      </c>
      <c r="K22" s="309">
        <v>0</v>
      </c>
      <c r="L22" s="309">
        <v>0</v>
      </c>
      <c r="M22" s="310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28" t="str">
        <f t="shared" si="3"/>
        <v>HA3</v>
      </c>
      <c r="D23" s="224" t="s">
        <v>171</v>
      </c>
      <c r="E23" s="306">
        <v>3.58112137</v>
      </c>
      <c r="F23" s="306">
        <v>-36.965006520000003</v>
      </c>
      <c r="G23" s="306">
        <v>7.2256946710000003</v>
      </c>
      <c r="H23" s="306">
        <v>4.4841566999999999E-2</v>
      </c>
      <c r="I23" s="308">
        <v>40</v>
      </c>
      <c r="J23" s="309">
        <v>0</v>
      </c>
      <c r="K23" s="309">
        <v>0</v>
      </c>
      <c r="L23" s="309">
        <v>0</v>
      </c>
      <c r="M23" s="310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28" t="str">
        <f t="shared" si="3"/>
        <v>HA4</v>
      </c>
      <c r="D24" s="224" t="s">
        <v>172</v>
      </c>
      <c r="E24" s="306">
        <v>4.0196902039999998</v>
      </c>
      <c r="F24" s="306">
        <v>-37.82820366</v>
      </c>
      <c r="G24" s="306">
        <v>8.1593368759999994</v>
      </c>
      <c r="H24" s="306">
        <v>4.7284495000000003E-2</v>
      </c>
      <c r="I24" s="308">
        <v>40</v>
      </c>
      <c r="J24" s="309">
        <v>0</v>
      </c>
      <c r="K24" s="309">
        <v>0</v>
      </c>
      <c r="L24" s="309">
        <v>0</v>
      </c>
      <c r="M24" s="310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28" t="str">
        <f t="shared" si="3"/>
        <v>HA5</v>
      </c>
      <c r="D25" s="224" t="s">
        <v>173</v>
      </c>
      <c r="E25" s="306">
        <v>4.8252375660000002</v>
      </c>
      <c r="F25" s="306">
        <v>-39.280256399999999</v>
      </c>
      <c r="G25" s="306">
        <v>8.6240216889999992</v>
      </c>
      <c r="H25" s="306">
        <v>9.9944630000000003E-3</v>
      </c>
      <c r="I25" s="308">
        <v>40</v>
      </c>
      <c r="J25" s="309">
        <v>0</v>
      </c>
      <c r="K25" s="309">
        <v>0</v>
      </c>
      <c r="L25" s="309">
        <v>0</v>
      </c>
      <c r="M25" s="310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28" t="str">
        <f t="shared" si="3"/>
        <v>AH3</v>
      </c>
      <c r="D26" s="224" t="s">
        <v>174</v>
      </c>
      <c r="E26" s="311">
        <v>1.9724775375047101</v>
      </c>
      <c r="F26" s="311">
        <v>-36.965006520000003</v>
      </c>
      <c r="G26" s="311">
        <v>7.2256946710000003</v>
      </c>
      <c r="H26" s="311">
        <v>3.45781570412447E-2</v>
      </c>
      <c r="I26" s="312">
        <v>40</v>
      </c>
      <c r="J26" s="313">
        <v>-7.42174022298938E-2</v>
      </c>
      <c r="K26" s="313">
        <v>1.04488686764057</v>
      </c>
      <c r="L26" s="313">
        <v>-8.2954472023944598E-4</v>
      </c>
      <c r="M26" s="314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28" t="str">
        <f t="shared" si="3"/>
        <v>AH4</v>
      </c>
      <c r="D27" s="224" t="s">
        <v>175</v>
      </c>
      <c r="E27" s="315">
        <v>1.8398455179509201</v>
      </c>
      <c r="F27" s="315">
        <v>-37.82820366</v>
      </c>
      <c r="G27" s="315">
        <v>8.1593368759999994</v>
      </c>
      <c r="H27" s="315">
        <v>2.5971006255482799E-2</v>
      </c>
      <c r="I27" s="316">
        <v>40</v>
      </c>
      <c r="J27" s="317">
        <v>-0.10692617459680499</v>
      </c>
      <c r="K27" s="317">
        <v>1.45522403984838</v>
      </c>
      <c r="L27" s="317">
        <v>-4.9197263527907199E-4</v>
      </c>
      <c r="M27" s="318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28" t="str">
        <f t="shared" si="3"/>
        <v>KO1</v>
      </c>
      <c r="D28" s="224" t="s">
        <v>176</v>
      </c>
      <c r="E28" s="306">
        <v>1.415957087</v>
      </c>
      <c r="F28" s="306">
        <v>-30.842519159999998</v>
      </c>
      <c r="G28" s="306">
        <v>6.3467557010000002</v>
      </c>
      <c r="H28" s="306">
        <v>0.32117906499999999</v>
      </c>
      <c r="I28" s="308">
        <v>40</v>
      </c>
      <c r="J28" s="309">
        <v>0</v>
      </c>
      <c r="K28" s="309">
        <v>0</v>
      </c>
      <c r="L28" s="309">
        <v>0</v>
      </c>
      <c r="M28" s="310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28" t="str">
        <f t="shared" si="3"/>
        <v>KO2</v>
      </c>
      <c r="D29" s="224" t="s">
        <v>177</v>
      </c>
      <c r="E29" s="306">
        <v>2.0660500700000002</v>
      </c>
      <c r="F29" s="306">
        <v>-33.601652029999997</v>
      </c>
      <c r="G29" s="306">
        <v>6.675360994</v>
      </c>
      <c r="H29" s="306">
        <v>0.23091246800000001</v>
      </c>
      <c r="I29" s="308">
        <v>40</v>
      </c>
      <c r="J29" s="309">
        <v>0</v>
      </c>
      <c r="K29" s="309">
        <v>0</v>
      </c>
      <c r="L29" s="309">
        <v>0</v>
      </c>
      <c r="M29" s="310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28" t="str">
        <f t="shared" si="3"/>
        <v>KO3</v>
      </c>
      <c r="D30" s="224" t="s">
        <v>178</v>
      </c>
      <c r="E30" s="306">
        <v>2.7172288440000001</v>
      </c>
      <c r="F30" s="306">
        <v>-35.141256310000003</v>
      </c>
      <c r="G30" s="306">
        <v>7.1303395089999997</v>
      </c>
      <c r="H30" s="306">
        <v>0.14184716999999999</v>
      </c>
      <c r="I30" s="308">
        <v>40</v>
      </c>
      <c r="J30" s="309">
        <v>0</v>
      </c>
      <c r="K30" s="309">
        <v>0</v>
      </c>
      <c r="L30" s="309">
        <v>0</v>
      </c>
      <c r="M30" s="310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28" t="str">
        <f t="shared" si="3"/>
        <v>KO4</v>
      </c>
      <c r="D31" s="224" t="s">
        <v>179</v>
      </c>
      <c r="E31" s="306">
        <v>3.4428942870000001</v>
      </c>
      <c r="F31" s="306">
        <v>-36.659050409999999</v>
      </c>
      <c r="G31" s="306">
        <v>7.6083226159999997</v>
      </c>
      <c r="H31" s="306">
        <v>7.4685009999999996E-2</v>
      </c>
      <c r="I31" s="308">
        <v>40</v>
      </c>
      <c r="J31" s="309">
        <v>0</v>
      </c>
      <c r="K31" s="309">
        <v>0</v>
      </c>
      <c r="L31" s="309">
        <v>0</v>
      </c>
      <c r="M31" s="310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28" t="str">
        <f t="shared" si="3"/>
        <v>KO5</v>
      </c>
      <c r="D32" s="224" t="s">
        <v>180</v>
      </c>
      <c r="E32" s="306">
        <v>4.3624833000000001</v>
      </c>
      <c r="F32" s="306">
        <v>-38.663402159999997</v>
      </c>
      <c r="G32" s="306">
        <v>7.5974644280000003</v>
      </c>
      <c r="H32" s="306">
        <v>8.3264180000000004E-3</v>
      </c>
      <c r="I32" s="308">
        <v>40</v>
      </c>
      <c r="J32" s="309">
        <v>0</v>
      </c>
      <c r="K32" s="309">
        <v>0</v>
      </c>
      <c r="L32" s="309">
        <v>0</v>
      </c>
      <c r="M32" s="310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28" t="str">
        <f t="shared" si="3"/>
        <v>OK3</v>
      </c>
      <c r="D33" s="224" t="s">
        <v>181</v>
      </c>
      <c r="E33" s="311">
        <v>1.3554515228930799</v>
      </c>
      <c r="F33" s="311">
        <v>-35.141256310000003</v>
      </c>
      <c r="G33" s="311">
        <v>7.1303395089999997</v>
      </c>
      <c r="H33" s="311">
        <v>9.9061861582536506E-2</v>
      </c>
      <c r="I33" s="312">
        <v>40</v>
      </c>
      <c r="J33" s="313">
        <v>-5.2648691429529201E-2</v>
      </c>
      <c r="K33" s="313">
        <v>0.86260857514223399</v>
      </c>
      <c r="L33" s="313">
        <v>-8.8083895602660196E-4</v>
      </c>
      <c r="M33" s="314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28" t="str">
        <f t="shared" si="3"/>
        <v>OK4</v>
      </c>
      <c r="D34" s="224" t="s">
        <v>182</v>
      </c>
      <c r="E34" s="315">
        <v>1.4256683872017999</v>
      </c>
      <c r="F34" s="315">
        <v>-36.659050409999999</v>
      </c>
      <c r="G34" s="315">
        <v>7.6083226159999997</v>
      </c>
      <c r="H34" s="315">
        <v>3.7111586547478703E-2</v>
      </c>
      <c r="I34" s="316">
        <v>40</v>
      </c>
      <c r="J34" s="317">
        <v>-8.0935893022415106E-2</v>
      </c>
      <c r="K34" s="317">
        <v>1.2364527018259801</v>
      </c>
      <c r="L34" s="317">
        <v>-7.6279966642852303E-4</v>
      </c>
      <c r="M34" s="318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28" t="str">
        <f t="shared" si="3"/>
        <v>BD1</v>
      </c>
      <c r="D35" s="224" t="s">
        <v>183</v>
      </c>
      <c r="E35" s="306">
        <v>1.2903504589999999</v>
      </c>
      <c r="F35" s="306">
        <v>-35.234986829999997</v>
      </c>
      <c r="G35" s="306">
        <v>2.1064246880000002</v>
      </c>
      <c r="H35" s="306">
        <v>0.45572533300000001</v>
      </c>
      <c r="I35" s="308">
        <v>40</v>
      </c>
      <c r="J35" s="309">
        <v>0</v>
      </c>
      <c r="K35" s="309">
        <v>0</v>
      </c>
      <c r="L35" s="309">
        <v>0</v>
      </c>
      <c r="M35" s="310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28" t="str">
        <f t="shared" si="3"/>
        <v>BD2</v>
      </c>
      <c r="D36" s="224" t="s">
        <v>184</v>
      </c>
      <c r="E36" s="306">
        <v>2.1095878429999999</v>
      </c>
      <c r="F36" s="306">
        <v>-35.84445084</v>
      </c>
      <c r="G36" s="306">
        <v>5.2154672279999996</v>
      </c>
      <c r="H36" s="306">
        <v>0.28545825400000002</v>
      </c>
      <c r="I36" s="308">
        <v>40</v>
      </c>
      <c r="J36" s="309">
        <v>0</v>
      </c>
      <c r="K36" s="309">
        <v>0</v>
      </c>
      <c r="L36" s="309">
        <v>0</v>
      </c>
      <c r="M36" s="310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28" t="str">
        <f t="shared" si="3"/>
        <v>BD3</v>
      </c>
      <c r="D37" s="224" t="s">
        <v>185</v>
      </c>
      <c r="E37" s="306">
        <v>2.917702722</v>
      </c>
      <c r="F37" s="306">
        <v>-36.179411649999999</v>
      </c>
      <c r="G37" s="306">
        <v>5.9265161649999998</v>
      </c>
      <c r="H37" s="306">
        <v>0.11519117600000001</v>
      </c>
      <c r="I37" s="308">
        <v>40</v>
      </c>
      <c r="J37" s="309">
        <v>0</v>
      </c>
      <c r="K37" s="309">
        <v>0</v>
      </c>
      <c r="L37" s="309">
        <v>0</v>
      </c>
      <c r="M37" s="310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28" t="str">
        <f t="shared" si="3"/>
        <v>BD4</v>
      </c>
      <c r="D38" s="224" t="s">
        <v>186</v>
      </c>
      <c r="E38" s="306">
        <v>3.75</v>
      </c>
      <c r="F38" s="306">
        <v>-37.5</v>
      </c>
      <c r="G38" s="306">
        <v>6.8</v>
      </c>
      <c r="H38" s="306">
        <v>6.0911264999999999E-2</v>
      </c>
      <c r="I38" s="308">
        <v>40</v>
      </c>
      <c r="J38" s="309">
        <v>0</v>
      </c>
      <c r="K38" s="309">
        <v>0</v>
      </c>
      <c r="L38" s="309">
        <v>0</v>
      </c>
      <c r="M38" s="310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28" t="str">
        <f t="shared" si="3"/>
        <v>BD5</v>
      </c>
      <c r="D39" s="224" t="s">
        <v>187</v>
      </c>
      <c r="E39" s="306">
        <v>4.5699505650000001</v>
      </c>
      <c r="F39" s="306">
        <v>-38.535339239999999</v>
      </c>
      <c r="G39" s="306">
        <v>7.5976990989999997</v>
      </c>
      <c r="H39" s="306">
        <v>6.6313539999999999E-3</v>
      </c>
      <c r="I39" s="308">
        <v>40</v>
      </c>
      <c r="J39" s="309">
        <v>0</v>
      </c>
      <c r="K39" s="309">
        <v>0</v>
      </c>
      <c r="L39" s="309">
        <v>0</v>
      </c>
      <c r="M39" s="310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28" t="str">
        <f t="shared" si="3"/>
        <v>DB3</v>
      </c>
      <c r="D40" s="224" t="s">
        <v>188</v>
      </c>
      <c r="E40" s="311">
        <v>1.4633681573374999</v>
      </c>
      <c r="F40" s="311">
        <v>-36.179411649999999</v>
      </c>
      <c r="G40" s="311">
        <v>5.9265161649999998</v>
      </c>
      <c r="H40" s="311">
        <v>8.08834761578303E-2</v>
      </c>
      <c r="I40" s="312">
        <v>40</v>
      </c>
      <c r="J40" s="313">
        <v>-4.7579990370695997E-2</v>
      </c>
      <c r="K40" s="313">
        <v>0.82307541850402</v>
      </c>
      <c r="L40" s="313">
        <v>-1.92725690584626E-3</v>
      </c>
      <c r="M40" s="314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28" t="str">
        <f t="shared" si="3"/>
        <v>DB4</v>
      </c>
      <c r="D41" s="224" t="s">
        <v>189</v>
      </c>
      <c r="E41" s="315">
        <v>1.5175791604409099</v>
      </c>
      <c r="F41" s="315">
        <v>-37.5</v>
      </c>
      <c r="G41" s="315">
        <v>6.8</v>
      </c>
      <c r="H41" s="315">
        <v>2.9580053248030098E-2</v>
      </c>
      <c r="I41" s="316">
        <v>40</v>
      </c>
      <c r="J41" s="317">
        <v>-7.8855918399573705E-2</v>
      </c>
      <c r="K41" s="317">
        <v>1.21612498767079</v>
      </c>
      <c r="L41" s="317">
        <v>-1.31336800852578E-3</v>
      </c>
      <c r="M41" s="318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28" t="str">
        <f t="shared" si="3"/>
        <v>GA1</v>
      </c>
      <c r="D42" s="224" t="s">
        <v>190</v>
      </c>
      <c r="E42" s="306">
        <v>1.177034538</v>
      </c>
      <c r="F42" s="306">
        <v>-39.159991400000003</v>
      </c>
      <c r="G42" s="306">
        <v>4.2076109639999997</v>
      </c>
      <c r="H42" s="306">
        <v>0.66047393200000004</v>
      </c>
      <c r="I42" s="308">
        <v>40</v>
      </c>
      <c r="J42" s="309">
        <v>0</v>
      </c>
      <c r="K42" s="309">
        <v>0</v>
      </c>
      <c r="L42" s="309">
        <v>0</v>
      </c>
      <c r="M42" s="310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28" t="str">
        <f t="shared" si="3"/>
        <v>GA2</v>
      </c>
      <c r="D43" s="224" t="s">
        <v>191</v>
      </c>
      <c r="E43" s="306">
        <v>1.648762294</v>
      </c>
      <c r="F43" s="306">
        <v>-36.399273569999998</v>
      </c>
      <c r="G43" s="306">
        <v>6.2149172090000002</v>
      </c>
      <c r="H43" s="306">
        <v>0.48776373299999998</v>
      </c>
      <c r="I43" s="308">
        <v>40</v>
      </c>
      <c r="J43" s="309">
        <v>0</v>
      </c>
      <c r="K43" s="309">
        <v>0</v>
      </c>
      <c r="L43" s="309">
        <v>0</v>
      </c>
      <c r="M43" s="310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28" t="str">
        <f t="shared" si="3"/>
        <v>GA3</v>
      </c>
      <c r="D44" s="224" t="s">
        <v>192</v>
      </c>
      <c r="E44" s="306">
        <v>2.2850164739999999</v>
      </c>
      <c r="F44" s="306">
        <v>-36.287858389999997</v>
      </c>
      <c r="G44" s="306">
        <v>6.5885126390000002</v>
      </c>
      <c r="H44" s="306">
        <v>0.31505353400000002</v>
      </c>
      <c r="I44" s="308">
        <v>40</v>
      </c>
      <c r="J44" s="309">
        <v>0</v>
      </c>
      <c r="K44" s="309">
        <v>0</v>
      </c>
      <c r="L44" s="309">
        <v>0</v>
      </c>
      <c r="M44" s="310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28" t="str">
        <f t="shared" si="3"/>
        <v>GA4</v>
      </c>
      <c r="D45" s="224" t="s">
        <v>193</v>
      </c>
      <c r="E45" s="306">
        <v>2.8195656150000001</v>
      </c>
      <c r="F45" s="306">
        <v>-36</v>
      </c>
      <c r="G45" s="306">
        <v>7.7368517680000002</v>
      </c>
      <c r="H45" s="306">
        <v>0.15728097999999999</v>
      </c>
      <c r="I45" s="308">
        <v>40</v>
      </c>
      <c r="J45" s="309">
        <v>0</v>
      </c>
      <c r="K45" s="309">
        <v>0</v>
      </c>
      <c r="L45" s="309">
        <v>0</v>
      </c>
      <c r="M45" s="310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28" t="str">
        <f t="shared" si="3"/>
        <v>GA5</v>
      </c>
      <c r="D46" s="224" t="s">
        <v>194</v>
      </c>
      <c r="E46" s="306">
        <v>3.3295574819999998</v>
      </c>
      <c r="F46" s="306">
        <v>-36.014621120000001</v>
      </c>
      <c r="G46" s="306">
        <v>8.7767464709999992</v>
      </c>
      <c r="H46" s="306">
        <v>0</v>
      </c>
      <c r="I46" s="308">
        <v>40</v>
      </c>
      <c r="J46" s="309">
        <v>0</v>
      </c>
      <c r="K46" s="309">
        <v>0</v>
      </c>
      <c r="L46" s="309">
        <v>0</v>
      </c>
      <c r="M46" s="310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28" t="str">
        <f t="shared" si="3"/>
        <v>AG3</v>
      </c>
      <c r="D47" s="224" t="s">
        <v>195</v>
      </c>
      <c r="E47" s="311">
        <v>1.15820816823062</v>
      </c>
      <c r="F47" s="311">
        <v>-36.287858389999997</v>
      </c>
      <c r="G47" s="311">
        <v>6.5885126390000002</v>
      </c>
      <c r="H47" s="311">
        <v>0.223568019279065</v>
      </c>
      <c r="I47" s="312">
        <v>40</v>
      </c>
      <c r="J47" s="313">
        <v>-4.1033478424869901E-2</v>
      </c>
      <c r="K47" s="313">
        <v>0.75264513854265702</v>
      </c>
      <c r="L47" s="313">
        <v>-9.0876855297962304E-4</v>
      </c>
      <c r="M47" s="314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28" t="str">
        <f t="shared" si="3"/>
        <v>AG4</v>
      </c>
      <c r="D48" s="224" t="s">
        <v>196</v>
      </c>
      <c r="E48" s="315">
        <v>1.18483197659357</v>
      </c>
      <c r="F48" s="315">
        <v>-36</v>
      </c>
      <c r="G48" s="315">
        <v>7.7368517680000002</v>
      </c>
      <c r="H48" s="315">
        <v>7.9310742089883396E-2</v>
      </c>
      <c r="I48" s="316">
        <v>40</v>
      </c>
      <c r="J48" s="317">
        <v>-6.8738315813288001E-2</v>
      </c>
      <c r="K48" s="317">
        <v>1.1308570050851501</v>
      </c>
      <c r="L48" s="317">
        <v>-6.58695704968982E-4</v>
      </c>
      <c r="M48" s="318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28" t="str">
        <f t="shared" si="3"/>
        <v>BH1</v>
      </c>
      <c r="D49" s="224" t="s">
        <v>197</v>
      </c>
      <c r="E49" s="306">
        <v>1.4771785690000001</v>
      </c>
      <c r="F49" s="306">
        <v>-35.083444710000002</v>
      </c>
      <c r="G49" s="306">
        <v>5.412342465</v>
      </c>
      <c r="H49" s="306">
        <v>0.47442640800000002</v>
      </c>
      <c r="I49" s="308">
        <v>40</v>
      </c>
      <c r="J49" s="309">
        <v>0</v>
      </c>
      <c r="K49" s="309">
        <v>0</v>
      </c>
      <c r="L49" s="309">
        <v>0</v>
      </c>
      <c r="M49" s="310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28" t="str">
        <f t="shared" si="3"/>
        <v>BH2</v>
      </c>
      <c r="D50" s="224" t="s">
        <v>198</v>
      </c>
      <c r="E50" s="306">
        <v>1.70052794</v>
      </c>
      <c r="F50" s="306">
        <v>-35.15</v>
      </c>
      <c r="G50" s="306">
        <v>6.1632738509999996</v>
      </c>
      <c r="H50" s="306">
        <v>0.42982608500000002</v>
      </c>
      <c r="I50" s="308">
        <v>40</v>
      </c>
      <c r="J50" s="309">
        <v>0</v>
      </c>
      <c r="K50" s="309">
        <v>0</v>
      </c>
      <c r="L50" s="309">
        <v>0</v>
      </c>
      <c r="M50" s="310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28" t="str">
        <f t="shared" si="3"/>
        <v>BH3</v>
      </c>
      <c r="D51" s="224" t="s">
        <v>199</v>
      </c>
      <c r="E51" s="306">
        <v>2.0102471730000002</v>
      </c>
      <c r="F51" s="306">
        <v>-35.253212349999998</v>
      </c>
      <c r="G51" s="306">
        <v>6.1544406409999999</v>
      </c>
      <c r="H51" s="306">
        <v>0.32947409700000002</v>
      </c>
      <c r="I51" s="308">
        <v>40</v>
      </c>
      <c r="J51" s="309">
        <v>0</v>
      </c>
      <c r="K51" s="309">
        <v>0</v>
      </c>
      <c r="L51" s="309">
        <v>0</v>
      </c>
      <c r="M51" s="310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28" t="str">
        <f t="shared" si="3"/>
        <v>BH4</v>
      </c>
      <c r="D52" s="224" t="s">
        <v>200</v>
      </c>
      <c r="E52" s="306">
        <v>2.4595180609999998</v>
      </c>
      <c r="F52" s="306">
        <v>-35.253212349999998</v>
      </c>
      <c r="G52" s="306">
        <v>6.0587000719999997</v>
      </c>
      <c r="H52" s="306">
        <v>0.164737049</v>
      </c>
      <c r="I52" s="308">
        <v>40</v>
      </c>
      <c r="J52" s="309">
        <v>0</v>
      </c>
      <c r="K52" s="309">
        <v>0</v>
      </c>
      <c r="L52" s="309">
        <v>0</v>
      </c>
      <c r="M52" s="310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28" t="str">
        <f t="shared" si="3"/>
        <v>BH5</v>
      </c>
      <c r="D53" s="224" t="s">
        <v>201</v>
      </c>
      <c r="E53" s="306">
        <v>2.98</v>
      </c>
      <c r="F53" s="306">
        <v>-35.799999999999997</v>
      </c>
      <c r="G53" s="306">
        <v>5.6340580620000003</v>
      </c>
      <c r="H53" s="306">
        <v>0</v>
      </c>
      <c r="I53" s="308">
        <v>40</v>
      </c>
      <c r="J53" s="309">
        <v>0</v>
      </c>
      <c r="K53" s="309">
        <v>0</v>
      </c>
      <c r="L53" s="309">
        <v>0</v>
      </c>
      <c r="M53" s="310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28" t="str">
        <f t="shared" si="3"/>
        <v>HB3</v>
      </c>
      <c r="D54" s="224" t="s">
        <v>202</v>
      </c>
      <c r="E54" s="311">
        <v>0.98742830199278697</v>
      </c>
      <c r="F54" s="311">
        <v>-35.253212349999998</v>
      </c>
      <c r="G54" s="311">
        <v>6.1544406409999999</v>
      </c>
      <c r="H54" s="311">
        <v>0.226571574644788</v>
      </c>
      <c r="I54" s="312">
        <v>40</v>
      </c>
      <c r="J54" s="313">
        <v>-3.3901972877937302E-2</v>
      </c>
      <c r="K54" s="313">
        <v>0.69382336958448299</v>
      </c>
      <c r="L54" s="313">
        <v>-1.2849007801732501E-3</v>
      </c>
      <c r="M54" s="314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28" t="str">
        <f t="shared" si="3"/>
        <v>HB4</v>
      </c>
      <c r="D55" s="224" t="s">
        <v>203</v>
      </c>
      <c r="E55" s="315">
        <v>0.987258471486126</v>
      </c>
      <c r="F55" s="315">
        <v>-35.253212349999998</v>
      </c>
      <c r="G55" s="315">
        <v>6.0587000719999997</v>
      </c>
      <c r="H55" s="315">
        <v>7.9351178479290699E-2</v>
      </c>
      <c r="I55" s="316">
        <v>40</v>
      </c>
      <c r="J55" s="317">
        <v>-4.95013227495672E-2</v>
      </c>
      <c r="K55" s="317">
        <v>0.96379986125322403</v>
      </c>
      <c r="L55" s="317">
        <v>-2.2303785271091201E-3</v>
      </c>
      <c r="M55" s="318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28" t="str">
        <f t="shared" si="3"/>
        <v>WA1</v>
      </c>
      <c r="D56" s="224" t="s">
        <v>204</v>
      </c>
      <c r="E56" s="306">
        <v>0.4</v>
      </c>
      <c r="F56" s="306">
        <v>-40.514948179999998</v>
      </c>
      <c r="G56" s="306">
        <v>2.874795695</v>
      </c>
      <c r="H56" s="306">
        <v>0.93510758400000005</v>
      </c>
      <c r="I56" s="308">
        <v>40</v>
      </c>
      <c r="J56" s="309">
        <v>0</v>
      </c>
      <c r="K56" s="309">
        <v>0</v>
      </c>
      <c r="L56" s="309">
        <v>0</v>
      </c>
      <c r="M56" s="310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28" t="str">
        <f t="shared" si="3"/>
        <v>WA2</v>
      </c>
      <c r="D57" s="224" t="s">
        <v>205</v>
      </c>
      <c r="E57" s="306">
        <v>0.61662289299999995</v>
      </c>
      <c r="F57" s="306">
        <v>-38.4</v>
      </c>
      <c r="G57" s="306">
        <v>3.8705351889999999</v>
      </c>
      <c r="H57" s="306">
        <v>0.87002503099999995</v>
      </c>
      <c r="I57" s="308">
        <v>40</v>
      </c>
      <c r="J57" s="309">
        <v>0</v>
      </c>
      <c r="K57" s="309">
        <v>0</v>
      </c>
      <c r="L57" s="309">
        <v>0</v>
      </c>
      <c r="M57" s="310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28" t="str">
        <f t="shared" si="3"/>
        <v>WA3</v>
      </c>
      <c r="D58" s="224" t="s">
        <v>206</v>
      </c>
      <c r="E58" s="306">
        <v>0.76572901199999999</v>
      </c>
      <c r="F58" s="306">
        <v>-36.023791150000001</v>
      </c>
      <c r="G58" s="306">
        <v>4.8662746830000003</v>
      </c>
      <c r="H58" s="306">
        <v>0.80494247799999996</v>
      </c>
      <c r="I58" s="308">
        <v>40</v>
      </c>
      <c r="J58" s="309">
        <v>0</v>
      </c>
      <c r="K58" s="309">
        <v>0</v>
      </c>
      <c r="L58" s="309">
        <v>0</v>
      </c>
      <c r="M58" s="310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28" t="str">
        <f t="shared" si="3"/>
        <v>WA4</v>
      </c>
      <c r="D59" s="224" t="s">
        <v>207</v>
      </c>
      <c r="E59" s="306">
        <v>1.053587472</v>
      </c>
      <c r="F59" s="306">
        <v>-35.299999999999997</v>
      </c>
      <c r="G59" s="306">
        <v>4.8662746830000003</v>
      </c>
      <c r="H59" s="306">
        <v>0.68110423399999998</v>
      </c>
      <c r="I59" s="308">
        <v>40</v>
      </c>
      <c r="J59" s="309">
        <v>0</v>
      </c>
      <c r="K59" s="309">
        <v>0</v>
      </c>
      <c r="L59" s="309">
        <v>0</v>
      </c>
      <c r="M59" s="310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28" t="str">
        <f t="shared" si="3"/>
        <v>WA5</v>
      </c>
      <c r="D60" s="224" t="s">
        <v>208</v>
      </c>
      <c r="E60" s="306">
        <v>1.276885373</v>
      </c>
      <c r="F60" s="306">
        <v>-34.342437070000003</v>
      </c>
      <c r="G60" s="306">
        <v>5.4518822419999999</v>
      </c>
      <c r="H60" s="306">
        <v>0.55726598999999999</v>
      </c>
      <c r="I60" s="308">
        <v>40</v>
      </c>
      <c r="J60" s="309">
        <v>0</v>
      </c>
      <c r="K60" s="309">
        <v>0</v>
      </c>
      <c r="L60" s="309">
        <v>0</v>
      </c>
      <c r="M60" s="310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28" t="str">
        <f t="shared" si="3"/>
        <v>AW3</v>
      </c>
      <c r="D61" s="224" t="s">
        <v>209</v>
      </c>
      <c r="E61" s="311">
        <v>0.33378383212380802</v>
      </c>
      <c r="F61" s="311">
        <v>-36.023791150000001</v>
      </c>
      <c r="G61" s="311">
        <v>4.8662746830000003</v>
      </c>
      <c r="H61" s="311">
        <v>0.49122795797177399</v>
      </c>
      <c r="I61" s="312">
        <v>40</v>
      </c>
      <c r="J61" s="313">
        <v>-9.2263492839078001E-3</v>
      </c>
      <c r="K61" s="313">
        <v>0.45957571089624999</v>
      </c>
      <c r="L61" s="313">
        <v>-9.6764244989513298E-4</v>
      </c>
      <c r="M61" s="314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28" t="str">
        <f t="shared" si="3"/>
        <v>AW4</v>
      </c>
      <c r="D62" s="224" t="s">
        <v>210</v>
      </c>
      <c r="E62" s="315">
        <v>0.39253387380634902</v>
      </c>
      <c r="F62" s="315">
        <v>-35.299999999999997</v>
      </c>
      <c r="G62" s="315">
        <v>4.8662746830000003</v>
      </c>
      <c r="H62" s="315">
        <v>0.30450986619695802</v>
      </c>
      <c r="I62" s="316">
        <v>40</v>
      </c>
      <c r="J62" s="317">
        <v>-1.67993072626435E-2</v>
      </c>
      <c r="K62" s="317">
        <v>0.67108889173422104</v>
      </c>
      <c r="L62" s="317">
        <v>-2.0300823594516502E-3</v>
      </c>
      <c r="M62" s="318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28" t="str">
        <f t="shared" si="3"/>
        <v>GB1</v>
      </c>
      <c r="D63" s="224" t="s">
        <v>211</v>
      </c>
      <c r="E63" s="306">
        <v>3.176194476</v>
      </c>
      <c r="F63" s="306">
        <v>-40.836660860000002</v>
      </c>
      <c r="G63" s="306">
        <v>3.6785891739999999</v>
      </c>
      <c r="H63" s="306">
        <v>0.15021557599999999</v>
      </c>
      <c r="I63" s="308">
        <v>40</v>
      </c>
      <c r="J63" s="309">
        <v>0</v>
      </c>
      <c r="K63" s="309">
        <v>0</v>
      </c>
      <c r="L63" s="309">
        <v>0</v>
      </c>
      <c r="M63" s="310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28" t="str">
        <f t="shared" si="3"/>
        <v>GB2</v>
      </c>
      <c r="D64" s="224" t="s">
        <v>212</v>
      </c>
      <c r="E64" s="306">
        <v>3.3904645059999998</v>
      </c>
      <c r="F64" s="306">
        <v>-39.287521640000001</v>
      </c>
      <c r="G64" s="306">
        <v>4.4905740459999999</v>
      </c>
      <c r="H64" s="306">
        <v>8.3478316999999996E-2</v>
      </c>
      <c r="I64" s="308">
        <v>40</v>
      </c>
      <c r="J64" s="309">
        <v>0</v>
      </c>
      <c r="K64" s="309">
        <v>0</v>
      </c>
      <c r="L64" s="309">
        <v>0</v>
      </c>
      <c r="M64" s="310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28" t="str">
        <f t="shared" si="3"/>
        <v>GB3</v>
      </c>
      <c r="D65" s="224" t="s">
        <v>213</v>
      </c>
      <c r="E65" s="306">
        <v>3.2572742130000001</v>
      </c>
      <c r="F65" s="306">
        <v>-37.5</v>
      </c>
      <c r="G65" s="306">
        <v>6.3462147949999999</v>
      </c>
      <c r="H65" s="306">
        <v>8.6622649999999995E-2</v>
      </c>
      <c r="I65" s="308">
        <v>40</v>
      </c>
      <c r="J65" s="309">
        <v>0</v>
      </c>
      <c r="K65" s="309">
        <v>0</v>
      </c>
      <c r="L65" s="309">
        <v>0</v>
      </c>
      <c r="M65" s="310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28" t="str">
        <f t="shared" si="3"/>
        <v>GB4</v>
      </c>
      <c r="D66" s="224" t="s">
        <v>214</v>
      </c>
      <c r="E66" s="306">
        <v>3.601773562</v>
      </c>
      <c r="F66" s="306">
        <v>-37.88253684</v>
      </c>
      <c r="G66" s="306">
        <v>6.9836070289999999</v>
      </c>
      <c r="H66" s="306">
        <v>5.4826185999999999E-2</v>
      </c>
      <c r="I66" s="308">
        <v>40</v>
      </c>
      <c r="J66" s="309">
        <v>0</v>
      </c>
      <c r="K66" s="309">
        <v>0</v>
      </c>
      <c r="L66" s="309">
        <v>0</v>
      </c>
      <c r="M66" s="310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28" t="str">
        <f t="shared" si="3"/>
        <v>GB5</v>
      </c>
      <c r="D67" s="224" t="s">
        <v>215</v>
      </c>
      <c r="E67" s="306">
        <v>3.9320532479999999</v>
      </c>
      <c r="F67" s="306">
        <v>-38.143324819999997</v>
      </c>
      <c r="G67" s="306">
        <v>7.6185870979999999</v>
      </c>
      <c r="H67" s="306">
        <v>2.3029722999999998E-2</v>
      </c>
      <c r="I67" s="308">
        <v>40</v>
      </c>
      <c r="J67" s="309">
        <v>0</v>
      </c>
      <c r="K67" s="309">
        <v>0</v>
      </c>
      <c r="L67" s="309">
        <v>0</v>
      </c>
      <c r="M67" s="310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28" t="str">
        <f t="shared" ref="C68:C92" si="6">IF(A68="SLP-TUM",LEFT(D68,3),"")&amp;IF(A68="SLP-FfE",MID(D65,2,1)&amp;MID(D65,1,1)&amp;MID(D65,3,1),"")</f>
        <v>BG3</v>
      </c>
      <c r="D68" s="224" t="s">
        <v>216</v>
      </c>
      <c r="E68" s="319">
        <v>1.82137779524266</v>
      </c>
      <c r="F68" s="319">
        <v>-37.5</v>
      </c>
      <c r="G68" s="319">
        <v>6.3462147949999999</v>
      </c>
      <c r="H68" s="319">
        <v>6.7811791498411197E-2</v>
      </c>
      <c r="I68" s="320">
        <v>40</v>
      </c>
      <c r="J68" s="321">
        <v>-6.0766568968526301E-2</v>
      </c>
      <c r="K68" s="321">
        <v>0.93081585658295796</v>
      </c>
      <c r="L68" s="321">
        <v>-1.3966888276177401E-3</v>
      </c>
      <c r="M68" s="322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28" t="str">
        <f t="shared" si="6"/>
        <v>BG4</v>
      </c>
      <c r="D69" s="224" t="s">
        <v>217</v>
      </c>
      <c r="E69" s="315">
        <v>1.62668116109167</v>
      </c>
      <c r="F69" s="315">
        <v>-37.88253684</v>
      </c>
      <c r="G69" s="315">
        <v>6.9836070289999999</v>
      </c>
      <c r="H69" s="315">
        <v>2.9713602712276601E-2</v>
      </c>
      <c r="I69" s="316">
        <v>40</v>
      </c>
      <c r="J69" s="317">
        <v>-8.5433289200744306E-2</v>
      </c>
      <c r="K69" s="317">
        <v>1.2709629183122999</v>
      </c>
      <c r="L69" s="317">
        <v>-1.1319192336313501E-3</v>
      </c>
      <c r="M69" s="318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28" t="str">
        <f t="shared" si="6"/>
        <v>BA1</v>
      </c>
      <c r="D70" s="224" t="s">
        <v>218</v>
      </c>
      <c r="E70" s="306">
        <v>0.15</v>
      </c>
      <c r="F70" s="306">
        <v>-36</v>
      </c>
      <c r="G70" s="306">
        <v>2</v>
      </c>
      <c r="H70" s="306">
        <v>1</v>
      </c>
      <c r="I70" s="308">
        <v>40</v>
      </c>
      <c r="J70" s="309">
        <v>0</v>
      </c>
      <c r="K70" s="309">
        <v>0</v>
      </c>
      <c r="L70" s="309">
        <v>0</v>
      </c>
      <c r="M70" s="310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28" t="str">
        <f t="shared" si="6"/>
        <v>BA2</v>
      </c>
      <c r="D71" s="224" t="s">
        <v>219</v>
      </c>
      <c r="E71" s="306">
        <v>0.38791910400000001</v>
      </c>
      <c r="F71" s="306">
        <v>-35.5</v>
      </c>
      <c r="G71" s="306">
        <v>4</v>
      </c>
      <c r="H71" s="306">
        <v>0.90548154300000006</v>
      </c>
      <c r="I71" s="308">
        <v>40</v>
      </c>
      <c r="J71" s="309">
        <v>0</v>
      </c>
      <c r="K71" s="309">
        <v>0</v>
      </c>
      <c r="L71" s="309">
        <v>0</v>
      </c>
      <c r="M71" s="310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28" t="str">
        <f t="shared" si="6"/>
        <v>BA3</v>
      </c>
      <c r="D72" s="224" t="s">
        <v>220</v>
      </c>
      <c r="E72" s="306">
        <v>0.62619621599999997</v>
      </c>
      <c r="F72" s="306">
        <v>-33</v>
      </c>
      <c r="G72" s="306">
        <v>5.7212302499999996</v>
      </c>
      <c r="H72" s="306">
        <v>0.78556546000000005</v>
      </c>
      <c r="I72" s="308">
        <v>40</v>
      </c>
      <c r="J72" s="309">
        <v>0</v>
      </c>
      <c r="K72" s="309">
        <v>0</v>
      </c>
      <c r="L72" s="309">
        <v>0</v>
      </c>
      <c r="M72" s="310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28" t="str">
        <f t="shared" si="6"/>
        <v>BA4</v>
      </c>
      <c r="D73" s="224" t="s">
        <v>221</v>
      </c>
      <c r="E73" s="306">
        <v>0.93158890100000002</v>
      </c>
      <c r="F73" s="306">
        <v>-33.35</v>
      </c>
      <c r="G73" s="306">
        <v>5.7212302499999996</v>
      </c>
      <c r="H73" s="306">
        <v>0.66564937700000004</v>
      </c>
      <c r="I73" s="308">
        <v>40</v>
      </c>
      <c r="J73" s="309">
        <v>0</v>
      </c>
      <c r="K73" s="309">
        <v>0</v>
      </c>
      <c r="L73" s="309">
        <v>0</v>
      </c>
      <c r="M73" s="310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28" t="str">
        <f t="shared" si="6"/>
        <v>BA5</v>
      </c>
      <c r="D74" s="224" t="s">
        <v>222</v>
      </c>
      <c r="E74" s="306">
        <v>1.2779567300000001</v>
      </c>
      <c r="F74" s="306">
        <v>-34.517392000000001</v>
      </c>
      <c r="G74" s="306">
        <v>5.7212302499999996</v>
      </c>
      <c r="H74" s="306">
        <v>0.54573329400000004</v>
      </c>
      <c r="I74" s="308">
        <v>40</v>
      </c>
      <c r="J74" s="309">
        <v>0</v>
      </c>
      <c r="K74" s="309">
        <v>0</v>
      </c>
      <c r="L74" s="309">
        <v>0</v>
      </c>
      <c r="M74" s="310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28" t="str">
        <f t="shared" si="6"/>
        <v>AB3</v>
      </c>
      <c r="D75" s="224" t="s">
        <v>223</v>
      </c>
      <c r="E75" s="319">
        <v>0.27700871173110803</v>
      </c>
      <c r="F75" s="319">
        <v>-33</v>
      </c>
      <c r="G75" s="319">
        <v>5.7212302499999996</v>
      </c>
      <c r="H75" s="319">
        <v>0.4865118291885</v>
      </c>
      <c r="I75" s="320">
        <v>40</v>
      </c>
      <c r="J75" s="321">
        <v>-9.4849130944012709E-3</v>
      </c>
      <c r="K75" s="321">
        <v>0.46302369368771501</v>
      </c>
      <c r="L75" s="321">
        <v>-7.1341860056578195E-4</v>
      </c>
      <c r="M75" s="322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28" t="str">
        <f t="shared" si="6"/>
        <v>AB4</v>
      </c>
      <c r="D76" s="224" t="s">
        <v>224</v>
      </c>
      <c r="E76" s="315">
        <v>0.35376401507794197</v>
      </c>
      <c r="F76" s="315">
        <v>-33.35</v>
      </c>
      <c r="G76" s="315">
        <v>5.7212302499999996</v>
      </c>
      <c r="H76" s="315">
        <v>0.30333053043746</v>
      </c>
      <c r="I76" s="316">
        <v>40</v>
      </c>
      <c r="J76" s="317">
        <v>-1.7746347868875599E-2</v>
      </c>
      <c r="K76" s="317">
        <v>0.68256991216863605</v>
      </c>
      <c r="L76" s="317">
        <v>-1.3911792841456701E-3</v>
      </c>
      <c r="M76" s="318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28" t="str">
        <f t="shared" si="6"/>
        <v>PD1</v>
      </c>
      <c r="D77" s="224" t="s">
        <v>225</v>
      </c>
      <c r="E77" s="306">
        <v>1.489402246</v>
      </c>
      <c r="F77" s="306">
        <v>-32.425267750000003</v>
      </c>
      <c r="G77" s="306">
        <v>8.1732612079999996</v>
      </c>
      <c r="H77" s="306">
        <v>0.390598736</v>
      </c>
      <c r="I77" s="308">
        <v>40</v>
      </c>
      <c r="J77" s="309">
        <v>0</v>
      </c>
      <c r="K77" s="309">
        <v>0</v>
      </c>
      <c r="L77" s="309">
        <v>0</v>
      </c>
      <c r="M77" s="310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28" t="str">
        <f t="shared" si="6"/>
        <v>PD2</v>
      </c>
      <c r="D78" s="224" t="s">
        <v>226</v>
      </c>
      <c r="E78" s="306">
        <v>2.5784172540000001</v>
      </c>
      <c r="F78" s="306">
        <v>-34.732126100000002</v>
      </c>
      <c r="G78" s="306">
        <v>6.4805035139999996</v>
      </c>
      <c r="H78" s="306">
        <v>0.140772912</v>
      </c>
      <c r="I78" s="308">
        <v>40</v>
      </c>
      <c r="J78" s="309">
        <v>0</v>
      </c>
      <c r="K78" s="309">
        <v>0</v>
      </c>
      <c r="L78" s="309">
        <v>0</v>
      </c>
      <c r="M78" s="310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28" t="str">
        <f t="shared" si="6"/>
        <v>PD3</v>
      </c>
      <c r="D79" s="224" t="s">
        <v>227</v>
      </c>
      <c r="E79" s="306">
        <v>3.2</v>
      </c>
      <c r="F79" s="306">
        <v>-35.799999999999997</v>
      </c>
      <c r="G79" s="306">
        <v>8.4</v>
      </c>
      <c r="H79" s="306">
        <v>9.3848608E-2</v>
      </c>
      <c r="I79" s="308">
        <v>40</v>
      </c>
      <c r="J79" s="309">
        <v>0</v>
      </c>
      <c r="K79" s="309">
        <v>0</v>
      </c>
      <c r="L79" s="309">
        <v>0</v>
      </c>
      <c r="M79" s="310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28" t="str">
        <f t="shared" si="6"/>
        <v>PD4</v>
      </c>
      <c r="D80" s="224" t="s">
        <v>228</v>
      </c>
      <c r="E80" s="306">
        <v>3.85</v>
      </c>
      <c r="F80" s="306">
        <v>-37</v>
      </c>
      <c r="G80" s="306">
        <v>10.2405021</v>
      </c>
      <c r="H80" s="306">
        <v>4.6924304E-2</v>
      </c>
      <c r="I80" s="308">
        <v>40</v>
      </c>
      <c r="J80" s="309">
        <v>0</v>
      </c>
      <c r="K80" s="309">
        <v>0</v>
      </c>
      <c r="L80" s="309">
        <v>0</v>
      </c>
      <c r="M80" s="310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28" t="str">
        <f t="shared" si="6"/>
        <v>PD5</v>
      </c>
      <c r="D81" s="224" t="s">
        <v>229</v>
      </c>
      <c r="E81" s="306">
        <v>4.7462813920000002</v>
      </c>
      <c r="F81" s="306">
        <v>-38.750429390000001</v>
      </c>
      <c r="G81" s="306">
        <v>10.27533341</v>
      </c>
      <c r="H81" s="306">
        <v>0</v>
      </c>
      <c r="I81" s="308">
        <v>40</v>
      </c>
      <c r="J81" s="309">
        <v>0</v>
      </c>
      <c r="K81" s="309">
        <v>0</v>
      </c>
      <c r="L81" s="309">
        <v>0</v>
      </c>
      <c r="M81" s="310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28" t="str">
        <f t="shared" si="6"/>
        <v>DP3</v>
      </c>
      <c r="D82" s="224" t="s">
        <v>230</v>
      </c>
      <c r="E82" s="319">
        <v>1.7110739256233101</v>
      </c>
      <c r="F82" s="319">
        <v>-35.799999999999997</v>
      </c>
      <c r="G82" s="319">
        <v>8.4</v>
      </c>
      <c r="H82" s="319">
        <v>7.0254583920868696E-2</v>
      </c>
      <c r="I82" s="320">
        <v>40</v>
      </c>
      <c r="J82" s="321">
        <v>-7.4538113411129703E-2</v>
      </c>
      <c r="K82" s="321">
        <v>1.04630053886108</v>
      </c>
      <c r="L82" s="321">
        <v>-3.6720793281783798E-4</v>
      </c>
      <c r="M82" s="322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28" t="str">
        <f t="shared" si="6"/>
        <v>DP4</v>
      </c>
      <c r="D83" s="224" t="s">
        <v>231</v>
      </c>
      <c r="E83" s="315">
        <v>1.88346094379506</v>
      </c>
      <c r="F83" s="315">
        <v>-37</v>
      </c>
      <c r="G83" s="315">
        <v>10.2405021</v>
      </c>
      <c r="H83" s="315">
        <v>2.7547042254160901E-2</v>
      </c>
      <c r="I83" s="316">
        <v>40</v>
      </c>
      <c r="J83" s="317">
        <v>-0.12530997479160699</v>
      </c>
      <c r="K83" s="317">
        <v>1.62759988176077</v>
      </c>
      <c r="L83" s="317">
        <v>-1.10508201486912E-4</v>
      </c>
      <c r="M83" s="318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28" t="str">
        <f t="shared" si="6"/>
        <v>MF1</v>
      </c>
      <c r="D84" s="224" t="s">
        <v>232</v>
      </c>
      <c r="E84" s="306">
        <v>2.1163530869999998</v>
      </c>
      <c r="F84" s="306">
        <v>-34.262862310000003</v>
      </c>
      <c r="G84" s="306">
        <v>5.1763874239999996</v>
      </c>
      <c r="H84" s="306">
        <v>0.160694541</v>
      </c>
      <c r="I84" s="308">
        <v>40</v>
      </c>
      <c r="J84" s="309">
        <v>0</v>
      </c>
      <c r="K84" s="309">
        <v>0</v>
      </c>
      <c r="L84" s="309">
        <v>0</v>
      </c>
      <c r="M84" s="310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28" t="str">
        <f t="shared" si="6"/>
        <v>MF2</v>
      </c>
      <c r="D85" s="224" t="s">
        <v>233</v>
      </c>
      <c r="E85" s="306">
        <v>2.248633329</v>
      </c>
      <c r="F85" s="306">
        <v>-34.542843070000004</v>
      </c>
      <c r="G85" s="306">
        <v>5.5545244839999999</v>
      </c>
      <c r="H85" s="306">
        <v>0.14082196299999999</v>
      </c>
      <c r="I85" s="308">
        <v>40</v>
      </c>
      <c r="J85" s="309">
        <v>0</v>
      </c>
      <c r="K85" s="309">
        <v>0</v>
      </c>
      <c r="L85" s="309">
        <v>0</v>
      </c>
      <c r="M85" s="310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28" t="str">
        <f t="shared" si="6"/>
        <v>MF3</v>
      </c>
      <c r="D86" s="224" t="s">
        <v>234</v>
      </c>
      <c r="E86" s="306">
        <v>2.387761791</v>
      </c>
      <c r="F86" s="306">
        <v>-34.721360509999997</v>
      </c>
      <c r="G86" s="306">
        <v>5.8164304019999999</v>
      </c>
      <c r="H86" s="306">
        <v>0.120819368</v>
      </c>
      <c r="I86" s="308">
        <v>40</v>
      </c>
      <c r="J86" s="309">
        <v>0</v>
      </c>
      <c r="K86" s="309">
        <v>0</v>
      </c>
      <c r="L86" s="309">
        <v>0</v>
      </c>
      <c r="M86" s="310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28" t="str">
        <f t="shared" si="6"/>
        <v>MF4</v>
      </c>
      <c r="D87" s="224" t="s">
        <v>235</v>
      </c>
      <c r="E87" s="306">
        <v>2.5187775189999999</v>
      </c>
      <c r="F87" s="306">
        <v>-35.033375419999999</v>
      </c>
      <c r="G87" s="306">
        <v>6.224063396</v>
      </c>
      <c r="H87" s="306">
        <v>0.10107817199999999</v>
      </c>
      <c r="I87" s="308">
        <v>40</v>
      </c>
      <c r="J87" s="309">
        <v>0</v>
      </c>
      <c r="K87" s="309">
        <v>0</v>
      </c>
      <c r="L87" s="309">
        <v>0</v>
      </c>
      <c r="M87" s="310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28" t="str">
        <f t="shared" si="6"/>
        <v>MF5</v>
      </c>
      <c r="D88" s="224" t="s">
        <v>236</v>
      </c>
      <c r="E88" s="306">
        <v>2.656440592</v>
      </c>
      <c r="F88" s="306">
        <v>-35.251692669999997</v>
      </c>
      <c r="G88" s="306">
        <v>6.5182658619999998</v>
      </c>
      <c r="H88" s="306">
        <v>8.1205866000000002E-2</v>
      </c>
      <c r="I88" s="308">
        <v>40</v>
      </c>
      <c r="J88" s="309">
        <v>0</v>
      </c>
      <c r="K88" s="309">
        <v>0</v>
      </c>
      <c r="L88" s="309">
        <v>0</v>
      </c>
      <c r="M88" s="310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28" t="str">
        <f t="shared" si="6"/>
        <v>FM3</v>
      </c>
      <c r="D89" s="224" t="s">
        <v>237</v>
      </c>
      <c r="E89" s="319">
        <v>1.2328654654123199</v>
      </c>
      <c r="F89" s="319">
        <v>-34.721360509999997</v>
      </c>
      <c r="G89" s="319">
        <v>5.8164304019999999</v>
      </c>
      <c r="H89" s="319">
        <v>8.7335193020600194E-2</v>
      </c>
      <c r="I89" s="320">
        <v>40</v>
      </c>
      <c r="J89" s="321">
        <v>-4.0928399400390697E-2</v>
      </c>
      <c r="K89" s="321">
        <v>0.76729203945074098</v>
      </c>
      <c r="L89" s="321">
        <v>-2.23202741619469E-3</v>
      </c>
      <c r="M89" s="322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28" t="str">
        <f t="shared" si="6"/>
        <v>FM4</v>
      </c>
      <c r="D90" s="224" t="s">
        <v>238</v>
      </c>
      <c r="E90" s="315">
        <v>1.0443537680583199</v>
      </c>
      <c r="F90" s="315">
        <v>-35.033375419999999</v>
      </c>
      <c r="G90" s="315">
        <v>6.224063396</v>
      </c>
      <c r="H90" s="315">
        <v>5.0291716040989698E-2</v>
      </c>
      <c r="I90" s="316">
        <v>40</v>
      </c>
      <c r="J90" s="317">
        <v>-5.3583022235768898E-2</v>
      </c>
      <c r="K90" s="317">
        <v>0.99959009039973401</v>
      </c>
      <c r="L90" s="317">
        <v>-2.17584483209612E-3</v>
      </c>
      <c r="M90" s="318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28" t="str">
        <f t="shared" si="6"/>
        <v>HD3</v>
      </c>
      <c r="D91" s="224" t="s">
        <v>239</v>
      </c>
      <c r="E91" s="306">
        <v>2.579251014</v>
      </c>
      <c r="F91" s="306">
        <v>-35.681614400000001</v>
      </c>
      <c r="G91" s="306">
        <v>6.685797612</v>
      </c>
      <c r="H91" s="306">
        <v>0.19955409900000001</v>
      </c>
      <c r="I91" s="308">
        <v>40</v>
      </c>
      <c r="J91" s="309">
        <v>0</v>
      </c>
      <c r="K91" s="309">
        <v>0</v>
      </c>
      <c r="L91" s="309">
        <v>0</v>
      </c>
      <c r="M91" s="310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28" t="str">
        <f t="shared" si="6"/>
        <v>HD4</v>
      </c>
      <c r="D92" s="224" t="s">
        <v>240</v>
      </c>
      <c r="E92" s="306">
        <v>3.0084345560000001</v>
      </c>
      <c r="F92" s="306">
        <v>-36.607845269999999</v>
      </c>
      <c r="G92" s="306">
        <v>7.3211869529999998</v>
      </c>
      <c r="H92" s="306">
        <v>0.154966031</v>
      </c>
      <c r="I92" s="308">
        <v>40</v>
      </c>
      <c r="J92" s="309">
        <v>0</v>
      </c>
      <c r="K92" s="309">
        <v>0</v>
      </c>
      <c r="L92" s="309">
        <v>0</v>
      </c>
      <c r="M92" s="310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28" t="str">
        <f>IF(A93="SLP-TUM",LEFT(D93,3),"")&amp;IF(A93="SLP-FfE",MID(D91,2,1)&amp;MID(D91,1,1)&amp;MID(D91,3,1),"")</f>
        <v>DH3</v>
      </c>
      <c r="D93" s="224" t="s">
        <v>241</v>
      </c>
      <c r="E93" s="319">
        <v>1.3010623280670599</v>
      </c>
      <c r="F93" s="319">
        <v>-35.681614400000001</v>
      </c>
      <c r="G93" s="319">
        <v>6.685797612</v>
      </c>
      <c r="H93" s="319">
        <v>0.14092666704225201</v>
      </c>
      <c r="I93" s="320">
        <v>40</v>
      </c>
      <c r="J93" s="321">
        <v>-4.7342808824630003E-2</v>
      </c>
      <c r="K93" s="321">
        <v>0.81416912533326502</v>
      </c>
      <c r="L93" s="321">
        <v>-1.0600643623825999E-3</v>
      </c>
      <c r="M93" s="322">
        <v>0.132509207320192</v>
      </c>
    </row>
    <row r="94" spans="1:13" ht="15.75" thickBot="1">
      <c r="A94" s="229" t="str">
        <f t="shared" si="7"/>
        <v>SLP-FfE</v>
      </c>
      <c r="B94" s="229" t="str">
        <f>"DE_"&amp;IF(A94="SLP-TUM",MID(D94,5,4)&amp;RIGHT(D94,1),"")&amp;IF(A94="SLP-FfE",MID(D92,5,3)&amp;"3"&amp;RIGHT(D92,1),"")</f>
        <v>DE_GHD34</v>
      </c>
      <c r="C94" s="230" t="str">
        <f>IF(A94="SLP-TUM",LEFT(D94,3),"")&amp;IF(A94="SLP-FfE",MID(D92,2,1)&amp;MID(D92,1,1)&amp;MID(D92,3,1),"")</f>
        <v>DH4</v>
      </c>
      <c r="D94" s="231" t="s">
        <v>242</v>
      </c>
      <c r="E94" s="323">
        <v>1.2569600366115099</v>
      </c>
      <c r="F94" s="323">
        <v>-36.607845269999999</v>
      </c>
      <c r="G94" s="323">
        <v>7.3211869529999998</v>
      </c>
      <c r="H94" s="323">
        <v>7.7695999446950006E-2</v>
      </c>
      <c r="I94" s="324">
        <v>40</v>
      </c>
      <c r="J94" s="325">
        <v>-6.9682598068340706E-2</v>
      </c>
      <c r="K94" s="325">
        <v>1.13797018307135</v>
      </c>
      <c r="L94" s="325">
        <v>-8.5220021901797499E-4</v>
      </c>
      <c r="M94" s="326">
        <v>0.19210675752294901</v>
      </c>
    </row>
    <row r="95" spans="1:13">
      <c r="A95" s="128" t="s">
        <v>244</v>
      </c>
      <c r="B95" s="128" t="s">
        <v>49</v>
      </c>
      <c r="C95" s="128" t="s">
        <v>316</v>
      </c>
      <c r="D95" s="232" t="s">
        <v>271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5">
        <v>40</v>
      </c>
      <c r="J95" s="226">
        <v>0</v>
      </c>
      <c r="K95" s="226">
        <v>0</v>
      </c>
      <c r="L95" s="226">
        <v>0</v>
      </c>
      <c r="M95" s="227">
        <v>0</v>
      </c>
    </row>
    <row r="96" spans="1:13">
      <c r="A96" s="128" t="s">
        <v>244</v>
      </c>
      <c r="B96" s="128" t="s">
        <v>54</v>
      </c>
      <c r="C96" s="128" t="s">
        <v>321</v>
      </c>
      <c r="D96" s="232" t="s">
        <v>271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5">
        <v>40</v>
      </c>
      <c r="J96" s="226">
        <v>0</v>
      </c>
      <c r="K96" s="226">
        <v>0</v>
      </c>
      <c r="L96" s="226">
        <v>0</v>
      </c>
      <c r="M96" s="227">
        <v>0</v>
      </c>
    </row>
    <row r="97" spans="1:13">
      <c r="A97" s="128" t="s">
        <v>244</v>
      </c>
      <c r="B97" s="128" t="s">
        <v>59</v>
      </c>
      <c r="C97" s="128" t="s">
        <v>326</v>
      </c>
      <c r="D97" s="232" t="s">
        <v>271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5">
        <v>40</v>
      </c>
      <c r="J97" s="226">
        <v>0</v>
      </c>
      <c r="K97" s="226">
        <v>0</v>
      </c>
      <c r="L97" s="226">
        <v>0</v>
      </c>
      <c r="M97" s="227">
        <v>0</v>
      </c>
    </row>
    <row r="98" spans="1:13">
      <c r="A98" s="128" t="s">
        <v>244</v>
      </c>
      <c r="B98" s="128" t="s">
        <v>64</v>
      </c>
      <c r="C98" s="128" t="s">
        <v>331</v>
      </c>
      <c r="D98" s="232" t="s">
        <v>271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5">
        <v>40</v>
      </c>
      <c r="J98" s="226">
        <v>0</v>
      </c>
      <c r="K98" s="226">
        <v>0</v>
      </c>
      <c r="L98" s="226">
        <v>0</v>
      </c>
      <c r="M98" s="227">
        <v>0</v>
      </c>
    </row>
    <row r="99" spans="1:13">
      <c r="A99" s="128" t="s">
        <v>244</v>
      </c>
      <c r="B99" s="128" t="s">
        <v>17</v>
      </c>
      <c r="C99" s="128" t="s">
        <v>284</v>
      </c>
      <c r="D99" s="232" t="s">
        <v>271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5">
        <v>40</v>
      </c>
      <c r="J99" s="226">
        <v>0</v>
      </c>
      <c r="K99" s="226">
        <v>0</v>
      </c>
      <c r="L99" s="226">
        <v>0</v>
      </c>
      <c r="M99" s="227">
        <v>0</v>
      </c>
    </row>
    <row r="100" spans="1:13">
      <c r="A100" s="128" t="s">
        <v>244</v>
      </c>
      <c r="B100" s="128" t="s">
        <v>21</v>
      </c>
      <c r="C100" s="128" t="s">
        <v>288</v>
      </c>
      <c r="D100" s="232" t="s">
        <v>271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5">
        <v>40</v>
      </c>
      <c r="J100" s="226">
        <v>0</v>
      </c>
      <c r="K100" s="226">
        <v>0</v>
      </c>
      <c r="L100" s="226">
        <v>0</v>
      </c>
      <c r="M100" s="227">
        <v>0</v>
      </c>
    </row>
    <row r="101" spans="1:13">
      <c r="A101" s="128" t="s">
        <v>244</v>
      </c>
      <c r="B101" s="128" t="s">
        <v>25</v>
      </c>
      <c r="C101" s="128" t="s">
        <v>292</v>
      </c>
      <c r="D101" s="232" t="s">
        <v>271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5">
        <v>40</v>
      </c>
      <c r="J101" s="226">
        <v>0</v>
      </c>
      <c r="K101" s="226">
        <v>0</v>
      </c>
      <c r="L101" s="226">
        <v>0</v>
      </c>
      <c r="M101" s="227">
        <v>0</v>
      </c>
    </row>
    <row r="102" spans="1:13">
      <c r="A102" s="128" t="s">
        <v>244</v>
      </c>
      <c r="B102" s="128" t="s">
        <v>29</v>
      </c>
      <c r="C102" s="128" t="s">
        <v>296</v>
      </c>
      <c r="D102" s="232" t="s">
        <v>271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5">
        <v>40</v>
      </c>
      <c r="J102" s="226">
        <v>0</v>
      </c>
      <c r="K102" s="226">
        <v>0</v>
      </c>
      <c r="L102" s="226">
        <v>0</v>
      </c>
      <c r="M102" s="227">
        <v>0</v>
      </c>
    </row>
    <row r="103" spans="1:13">
      <c r="A103" s="128" t="s">
        <v>244</v>
      </c>
      <c r="B103" s="128" t="s">
        <v>33</v>
      </c>
      <c r="C103" s="128" t="s">
        <v>300</v>
      </c>
      <c r="D103" s="232" t="s">
        <v>271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5">
        <v>40</v>
      </c>
      <c r="J103" s="226">
        <v>0</v>
      </c>
      <c r="K103" s="226">
        <v>0</v>
      </c>
      <c r="L103" s="226">
        <v>0</v>
      </c>
      <c r="M103" s="227">
        <v>0</v>
      </c>
    </row>
    <row r="104" spans="1:13">
      <c r="A104" s="128" t="s">
        <v>244</v>
      </c>
      <c r="B104" s="128" t="s">
        <v>37</v>
      </c>
      <c r="C104" s="128" t="s">
        <v>304</v>
      </c>
      <c r="D104" s="232" t="s">
        <v>271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5">
        <v>40</v>
      </c>
      <c r="J104" s="226">
        <v>0</v>
      </c>
      <c r="K104" s="226">
        <v>0</v>
      </c>
      <c r="L104" s="226">
        <v>0</v>
      </c>
      <c r="M104" s="227">
        <v>0</v>
      </c>
    </row>
    <row r="105" spans="1:13">
      <c r="A105" s="128" t="s">
        <v>244</v>
      </c>
      <c r="B105" s="128" t="s">
        <v>41</v>
      </c>
      <c r="C105" s="128" t="s">
        <v>308</v>
      </c>
      <c r="D105" s="232" t="s">
        <v>271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5">
        <v>40</v>
      </c>
      <c r="J105" s="226">
        <v>0</v>
      </c>
      <c r="K105" s="226">
        <v>0</v>
      </c>
      <c r="L105" s="226">
        <v>0</v>
      </c>
      <c r="M105" s="227">
        <v>0</v>
      </c>
    </row>
    <row r="106" spans="1:13">
      <c r="A106" s="128" t="s">
        <v>244</v>
      </c>
      <c r="B106" s="128" t="s">
        <v>45</v>
      </c>
      <c r="C106" s="128" t="s">
        <v>312</v>
      </c>
      <c r="D106" s="232" t="s">
        <v>271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5">
        <v>40</v>
      </c>
      <c r="J106" s="226">
        <v>0</v>
      </c>
      <c r="K106" s="226">
        <v>0</v>
      </c>
      <c r="L106" s="226">
        <v>0</v>
      </c>
      <c r="M106" s="227">
        <v>0</v>
      </c>
    </row>
    <row r="107" spans="1:13">
      <c r="A107" s="128" t="s">
        <v>244</v>
      </c>
      <c r="B107" s="128" t="s">
        <v>50</v>
      </c>
      <c r="C107" s="128" t="s">
        <v>317</v>
      </c>
      <c r="D107" s="232" t="s">
        <v>271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5">
        <v>40</v>
      </c>
      <c r="J107" s="226">
        <v>0</v>
      </c>
      <c r="K107" s="226">
        <v>0</v>
      </c>
      <c r="L107" s="226">
        <v>0</v>
      </c>
      <c r="M107" s="227">
        <v>0</v>
      </c>
    </row>
    <row r="108" spans="1:13">
      <c r="A108" s="128" t="s">
        <v>244</v>
      </c>
      <c r="B108" s="128" t="s">
        <v>55</v>
      </c>
      <c r="C108" s="128" t="s">
        <v>322</v>
      </c>
      <c r="D108" s="232" t="s">
        <v>271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5">
        <v>40</v>
      </c>
      <c r="J108" s="226">
        <v>0</v>
      </c>
      <c r="K108" s="226">
        <v>0</v>
      </c>
      <c r="L108" s="226">
        <v>0</v>
      </c>
      <c r="M108" s="227">
        <v>0</v>
      </c>
    </row>
    <row r="109" spans="1:13">
      <c r="A109" s="128" t="s">
        <v>244</v>
      </c>
      <c r="B109" s="128" t="s">
        <v>60</v>
      </c>
      <c r="C109" s="128" t="s">
        <v>327</v>
      </c>
      <c r="D109" s="232" t="s">
        <v>271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5">
        <v>40</v>
      </c>
      <c r="J109" s="226">
        <v>0</v>
      </c>
      <c r="K109" s="226">
        <v>0</v>
      </c>
      <c r="L109" s="226">
        <v>0</v>
      </c>
      <c r="M109" s="227">
        <v>0</v>
      </c>
    </row>
    <row r="110" spans="1:13">
      <c r="A110" s="128" t="s">
        <v>244</v>
      </c>
      <c r="B110" s="128" t="s">
        <v>65</v>
      </c>
      <c r="C110" s="128" t="s">
        <v>332</v>
      </c>
      <c r="D110" s="232" t="s">
        <v>271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5">
        <v>40</v>
      </c>
      <c r="J110" s="226">
        <v>0</v>
      </c>
      <c r="K110" s="226">
        <v>0</v>
      </c>
      <c r="L110" s="226">
        <v>0</v>
      </c>
      <c r="M110" s="227">
        <v>0</v>
      </c>
    </row>
    <row r="111" spans="1:13">
      <c r="A111" s="128" t="s">
        <v>244</v>
      </c>
      <c r="B111" s="128" t="s">
        <v>5</v>
      </c>
      <c r="C111" s="128" t="s">
        <v>272</v>
      </c>
      <c r="D111" s="232" t="s">
        <v>271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5">
        <v>40</v>
      </c>
      <c r="J111" s="226">
        <v>0</v>
      </c>
      <c r="K111" s="226">
        <v>0</v>
      </c>
      <c r="L111" s="226">
        <v>0</v>
      </c>
      <c r="M111" s="227">
        <v>0</v>
      </c>
    </row>
    <row r="112" spans="1:13">
      <c r="A112" s="128" t="s">
        <v>244</v>
      </c>
      <c r="B112" s="128" t="s">
        <v>6</v>
      </c>
      <c r="C112" s="128" t="s">
        <v>273</v>
      </c>
      <c r="D112" s="232" t="s">
        <v>271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5">
        <v>40</v>
      </c>
      <c r="J112" s="226">
        <v>0</v>
      </c>
      <c r="K112" s="226">
        <v>0</v>
      </c>
      <c r="L112" s="226">
        <v>0</v>
      </c>
      <c r="M112" s="227">
        <v>0</v>
      </c>
    </row>
    <row r="113" spans="1:13">
      <c r="A113" s="128" t="s">
        <v>244</v>
      </c>
      <c r="B113" s="128" t="s">
        <v>7</v>
      </c>
      <c r="C113" s="128" t="s">
        <v>274</v>
      </c>
      <c r="D113" s="232" t="s">
        <v>271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5">
        <v>40</v>
      </c>
      <c r="J113" s="226">
        <v>0</v>
      </c>
      <c r="K113" s="226">
        <v>0</v>
      </c>
      <c r="L113" s="226">
        <v>0</v>
      </c>
      <c r="M113" s="227">
        <v>0</v>
      </c>
    </row>
    <row r="114" spans="1:13">
      <c r="A114" s="128" t="s">
        <v>244</v>
      </c>
      <c r="B114" s="128" t="s">
        <v>8</v>
      </c>
      <c r="C114" s="128" t="s">
        <v>275</v>
      </c>
      <c r="D114" s="232" t="s">
        <v>271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5">
        <v>40</v>
      </c>
      <c r="J114" s="226">
        <v>0</v>
      </c>
      <c r="K114" s="226">
        <v>0</v>
      </c>
      <c r="L114" s="226">
        <v>0</v>
      </c>
      <c r="M114" s="227">
        <v>0</v>
      </c>
    </row>
    <row r="115" spans="1:13">
      <c r="A115" s="128" t="s">
        <v>244</v>
      </c>
      <c r="B115" s="128" t="s">
        <v>18</v>
      </c>
      <c r="C115" s="128" t="s">
        <v>285</v>
      </c>
      <c r="D115" s="232" t="s">
        <v>271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5">
        <v>40</v>
      </c>
      <c r="J115" s="226">
        <v>0</v>
      </c>
      <c r="K115" s="226">
        <v>0</v>
      </c>
      <c r="L115" s="226">
        <v>0</v>
      </c>
      <c r="M115" s="227">
        <v>0</v>
      </c>
    </row>
    <row r="116" spans="1:13">
      <c r="A116" s="128" t="s">
        <v>244</v>
      </c>
      <c r="B116" s="128" t="s">
        <v>22</v>
      </c>
      <c r="C116" s="128" t="s">
        <v>289</v>
      </c>
      <c r="D116" s="232" t="s">
        <v>271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5">
        <v>40</v>
      </c>
      <c r="J116" s="226">
        <v>0</v>
      </c>
      <c r="K116" s="226">
        <v>0</v>
      </c>
      <c r="L116" s="226">
        <v>0</v>
      </c>
      <c r="M116" s="227">
        <v>0</v>
      </c>
    </row>
    <row r="117" spans="1:13">
      <c r="A117" s="128" t="s">
        <v>244</v>
      </c>
      <c r="B117" s="128" t="s">
        <v>26</v>
      </c>
      <c r="C117" s="128" t="s">
        <v>293</v>
      </c>
      <c r="D117" s="232" t="s">
        <v>271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5">
        <v>40</v>
      </c>
      <c r="J117" s="226">
        <v>0</v>
      </c>
      <c r="K117" s="226">
        <v>0</v>
      </c>
      <c r="L117" s="226">
        <v>0</v>
      </c>
      <c r="M117" s="227">
        <v>0</v>
      </c>
    </row>
    <row r="118" spans="1:13">
      <c r="A118" s="128" t="s">
        <v>244</v>
      </c>
      <c r="B118" s="128" t="s">
        <v>30</v>
      </c>
      <c r="C118" s="128" t="s">
        <v>297</v>
      </c>
      <c r="D118" s="232" t="s">
        <v>271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5">
        <v>40</v>
      </c>
      <c r="J118" s="226">
        <v>0</v>
      </c>
      <c r="K118" s="226">
        <v>0</v>
      </c>
      <c r="L118" s="226">
        <v>0</v>
      </c>
      <c r="M118" s="227">
        <v>0</v>
      </c>
    </row>
    <row r="119" spans="1:13">
      <c r="A119" s="128" t="s">
        <v>244</v>
      </c>
      <c r="B119" s="128" t="s">
        <v>9</v>
      </c>
      <c r="C119" s="128" t="s">
        <v>276</v>
      </c>
      <c r="D119" s="232" t="s">
        <v>271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5">
        <v>40</v>
      </c>
      <c r="J119" s="226">
        <v>0</v>
      </c>
      <c r="K119" s="226">
        <v>0</v>
      </c>
      <c r="L119" s="226">
        <v>0</v>
      </c>
      <c r="M119" s="227">
        <v>0</v>
      </c>
    </row>
    <row r="120" spans="1:13">
      <c r="A120" s="128" t="s">
        <v>244</v>
      </c>
      <c r="B120" s="128" t="s">
        <v>11</v>
      </c>
      <c r="C120" s="128" t="s">
        <v>278</v>
      </c>
      <c r="D120" s="232" t="s">
        <v>271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5">
        <v>40</v>
      </c>
      <c r="J120" s="226">
        <v>0</v>
      </c>
      <c r="K120" s="226">
        <v>0</v>
      </c>
      <c r="L120" s="226">
        <v>0</v>
      </c>
      <c r="M120" s="227">
        <v>0</v>
      </c>
    </row>
    <row r="121" spans="1:13">
      <c r="A121" s="128" t="s">
        <v>244</v>
      </c>
      <c r="B121" s="128" t="s">
        <v>13</v>
      </c>
      <c r="C121" s="128" t="s">
        <v>280</v>
      </c>
      <c r="D121" s="232" t="s">
        <v>271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5">
        <v>40</v>
      </c>
      <c r="J121" s="226">
        <v>0</v>
      </c>
      <c r="K121" s="226">
        <v>0</v>
      </c>
      <c r="L121" s="226">
        <v>0</v>
      </c>
      <c r="M121" s="227">
        <v>0</v>
      </c>
    </row>
    <row r="122" spans="1:13">
      <c r="A122" s="128" t="s">
        <v>244</v>
      </c>
      <c r="B122" s="128" t="s">
        <v>15</v>
      </c>
      <c r="C122" s="128" t="s">
        <v>282</v>
      </c>
      <c r="D122" s="232" t="s">
        <v>271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5">
        <v>40</v>
      </c>
      <c r="J122" s="226">
        <v>0</v>
      </c>
      <c r="K122" s="226">
        <v>0</v>
      </c>
      <c r="L122" s="226">
        <v>0</v>
      </c>
      <c r="M122" s="227">
        <v>0</v>
      </c>
    </row>
    <row r="123" spans="1:13">
      <c r="A123" s="128" t="s">
        <v>244</v>
      </c>
      <c r="B123" s="128" t="s">
        <v>51</v>
      </c>
      <c r="C123" s="128" t="s">
        <v>318</v>
      </c>
      <c r="D123" s="232" t="s">
        <v>271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5">
        <v>40</v>
      </c>
      <c r="J123" s="226">
        <v>0</v>
      </c>
      <c r="K123" s="226">
        <v>0</v>
      </c>
      <c r="L123" s="226">
        <v>0</v>
      </c>
      <c r="M123" s="227">
        <v>0</v>
      </c>
    </row>
    <row r="124" spans="1:13">
      <c r="A124" s="128" t="s">
        <v>244</v>
      </c>
      <c r="B124" s="128" t="s">
        <v>56</v>
      </c>
      <c r="C124" s="128" t="s">
        <v>323</v>
      </c>
      <c r="D124" s="232" t="s">
        <v>271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5">
        <v>40</v>
      </c>
      <c r="J124" s="226">
        <v>0</v>
      </c>
      <c r="K124" s="226">
        <v>0</v>
      </c>
      <c r="L124" s="226">
        <v>0</v>
      </c>
      <c r="M124" s="227">
        <v>0</v>
      </c>
    </row>
    <row r="125" spans="1:13">
      <c r="A125" s="128" t="s">
        <v>244</v>
      </c>
      <c r="B125" s="128" t="s">
        <v>61</v>
      </c>
      <c r="C125" s="128" t="s">
        <v>328</v>
      </c>
      <c r="D125" s="232" t="s">
        <v>271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5">
        <v>40</v>
      </c>
      <c r="J125" s="226">
        <v>0</v>
      </c>
      <c r="K125" s="226">
        <v>0</v>
      </c>
      <c r="L125" s="226">
        <v>0</v>
      </c>
      <c r="M125" s="227">
        <v>0</v>
      </c>
    </row>
    <row r="126" spans="1:13">
      <c r="A126" s="128" t="s">
        <v>244</v>
      </c>
      <c r="B126" s="128" t="s">
        <v>66</v>
      </c>
      <c r="C126" s="128" t="s">
        <v>333</v>
      </c>
      <c r="D126" s="232" t="s">
        <v>271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5">
        <v>40</v>
      </c>
      <c r="J126" s="226">
        <v>0</v>
      </c>
      <c r="K126" s="226">
        <v>0</v>
      </c>
      <c r="L126" s="226">
        <v>0</v>
      </c>
      <c r="M126" s="227">
        <v>0</v>
      </c>
    </row>
    <row r="127" spans="1:13">
      <c r="A127" s="128" t="s">
        <v>244</v>
      </c>
      <c r="B127" s="128" t="s">
        <v>19</v>
      </c>
      <c r="C127" s="128" t="s">
        <v>286</v>
      </c>
      <c r="D127" s="232" t="s">
        <v>271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5">
        <v>40</v>
      </c>
      <c r="J127" s="226">
        <v>0</v>
      </c>
      <c r="K127" s="226">
        <v>0</v>
      </c>
      <c r="L127" s="226">
        <v>0</v>
      </c>
      <c r="M127" s="227">
        <v>0</v>
      </c>
    </row>
    <row r="128" spans="1:13">
      <c r="A128" s="128" t="s">
        <v>244</v>
      </c>
      <c r="B128" s="128" t="s">
        <v>23</v>
      </c>
      <c r="C128" s="128" t="s">
        <v>290</v>
      </c>
      <c r="D128" s="232" t="s">
        <v>271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5">
        <v>40</v>
      </c>
      <c r="J128" s="226">
        <v>0</v>
      </c>
      <c r="K128" s="226">
        <v>0</v>
      </c>
      <c r="L128" s="226">
        <v>0</v>
      </c>
      <c r="M128" s="227">
        <v>0</v>
      </c>
    </row>
    <row r="129" spans="1:13">
      <c r="A129" s="128" t="s">
        <v>244</v>
      </c>
      <c r="B129" s="128" t="s">
        <v>27</v>
      </c>
      <c r="C129" s="128" t="s">
        <v>294</v>
      </c>
      <c r="D129" s="232" t="s">
        <v>271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5">
        <v>40</v>
      </c>
      <c r="J129" s="226">
        <v>0</v>
      </c>
      <c r="K129" s="226">
        <v>0</v>
      </c>
      <c r="L129" s="226">
        <v>0</v>
      </c>
      <c r="M129" s="227">
        <v>0</v>
      </c>
    </row>
    <row r="130" spans="1:13">
      <c r="A130" s="128" t="s">
        <v>244</v>
      </c>
      <c r="B130" s="128" t="s">
        <v>31</v>
      </c>
      <c r="C130" s="128" t="s">
        <v>298</v>
      </c>
      <c r="D130" s="232" t="s">
        <v>271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5">
        <v>40</v>
      </c>
      <c r="J130" s="226">
        <v>0</v>
      </c>
      <c r="K130" s="226">
        <v>0</v>
      </c>
      <c r="L130" s="226">
        <v>0</v>
      </c>
      <c r="M130" s="227">
        <v>0</v>
      </c>
    </row>
    <row r="131" spans="1:13">
      <c r="A131" s="128" t="s">
        <v>244</v>
      </c>
      <c r="B131" s="128" t="s">
        <v>20</v>
      </c>
      <c r="C131" s="128" t="s">
        <v>287</v>
      </c>
      <c r="D131" s="232" t="s">
        <v>271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5">
        <v>40</v>
      </c>
      <c r="J131" s="226">
        <v>0</v>
      </c>
      <c r="K131" s="226">
        <v>0</v>
      </c>
      <c r="L131" s="226">
        <v>0</v>
      </c>
      <c r="M131" s="227">
        <v>0</v>
      </c>
    </row>
    <row r="132" spans="1:13">
      <c r="A132" s="128" t="s">
        <v>244</v>
      </c>
      <c r="B132" s="128" t="s">
        <v>24</v>
      </c>
      <c r="C132" s="128" t="s">
        <v>291</v>
      </c>
      <c r="D132" s="232" t="s">
        <v>271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5">
        <v>40</v>
      </c>
      <c r="J132" s="226">
        <v>0</v>
      </c>
      <c r="K132" s="226">
        <v>0</v>
      </c>
      <c r="L132" s="226">
        <v>0</v>
      </c>
      <c r="M132" s="227">
        <v>0</v>
      </c>
    </row>
    <row r="133" spans="1:13">
      <c r="A133" s="128" t="s">
        <v>244</v>
      </c>
      <c r="B133" s="128" t="s">
        <v>28</v>
      </c>
      <c r="C133" s="128" t="s">
        <v>295</v>
      </c>
      <c r="D133" s="232" t="s">
        <v>271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5">
        <v>40</v>
      </c>
      <c r="J133" s="226">
        <v>0</v>
      </c>
      <c r="K133" s="226">
        <v>0</v>
      </c>
      <c r="L133" s="226">
        <v>0</v>
      </c>
      <c r="M133" s="227">
        <v>0</v>
      </c>
    </row>
    <row r="134" spans="1:13">
      <c r="A134" s="128" t="s">
        <v>244</v>
      </c>
      <c r="B134" s="128" t="s">
        <v>32</v>
      </c>
      <c r="C134" s="128" t="s">
        <v>299</v>
      </c>
      <c r="D134" s="232" t="s">
        <v>271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5">
        <v>40</v>
      </c>
      <c r="J134" s="226">
        <v>0</v>
      </c>
      <c r="K134" s="226">
        <v>0</v>
      </c>
      <c r="L134" s="226">
        <v>0</v>
      </c>
      <c r="M134" s="227">
        <v>0</v>
      </c>
    </row>
    <row r="135" spans="1:13">
      <c r="A135" s="128" t="s">
        <v>244</v>
      </c>
      <c r="B135" s="128" t="s">
        <v>34</v>
      </c>
      <c r="C135" s="128" t="s">
        <v>301</v>
      </c>
      <c r="D135" s="232" t="s">
        <v>271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5">
        <v>40</v>
      </c>
      <c r="J135" s="226">
        <v>0</v>
      </c>
      <c r="K135" s="226">
        <v>0</v>
      </c>
      <c r="L135" s="226">
        <v>0</v>
      </c>
      <c r="M135" s="227">
        <v>0</v>
      </c>
    </row>
    <row r="136" spans="1:13">
      <c r="A136" s="128" t="s">
        <v>244</v>
      </c>
      <c r="B136" s="128" t="s">
        <v>38</v>
      </c>
      <c r="C136" s="128" t="s">
        <v>305</v>
      </c>
      <c r="D136" s="232" t="s">
        <v>271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5">
        <v>40</v>
      </c>
      <c r="J136" s="226">
        <v>0</v>
      </c>
      <c r="K136" s="226">
        <v>0</v>
      </c>
      <c r="L136" s="226">
        <v>0</v>
      </c>
      <c r="M136" s="227">
        <v>0</v>
      </c>
    </row>
    <row r="137" spans="1:13">
      <c r="A137" s="128" t="s">
        <v>244</v>
      </c>
      <c r="B137" s="128" t="s">
        <v>42</v>
      </c>
      <c r="C137" s="128" t="s">
        <v>309</v>
      </c>
      <c r="D137" s="232" t="s">
        <v>271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5">
        <v>40</v>
      </c>
      <c r="J137" s="226">
        <v>0</v>
      </c>
      <c r="K137" s="226">
        <v>0</v>
      </c>
      <c r="L137" s="226">
        <v>0</v>
      </c>
      <c r="M137" s="227">
        <v>0</v>
      </c>
    </row>
    <row r="138" spans="1:13">
      <c r="A138" s="128" t="s">
        <v>244</v>
      </c>
      <c r="B138" s="128" t="s">
        <v>46</v>
      </c>
      <c r="C138" s="128" t="s">
        <v>313</v>
      </c>
      <c r="D138" s="232" t="s">
        <v>271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5">
        <v>40</v>
      </c>
      <c r="J138" s="226">
        <v>0</v>
      </c>
      <c r="K138" s="226">
        <v>0</v>
      </c>
      <c r="L138" s="226">
        <v>0</v>
      </c>
      <c r="M138" s="227">
        <v>0</v>
      </c>
    </row>
    <row r="139" spans="1:13">
      <c r="A139" s="128" t="s">
        <v>244</v>
      </c>
      <c r="B139" s="128" t="s">
        <v>35</v>
      </c>
      <c r="C139" s="128" t="s">
        <v>302</v>
      </c>
      <c r="D139" s="232" t="s">
        <v>271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5">
        <v>40</v>
      </c>
      <c r="J139" s="226">
        <v>0</v>
      </c>
      <c r="K139" s="226">
        <v>0</v>
      </c>
      <c r="L139" s="226">
        <v>0</v>
      </c>
      <c r="M139" s="227">
        <v>0</v>
      </c>
    </row>
    <row r="140" spans="1:13">
      <c r="A140" s="128" t="s">
        <v>244</v>
      </c>
      <c r="B140" s="128" t="s">
        <v>39</v>
      </c>
      <c r="C140" s="128" t="s">
        <v>306</v>
      </c>
      <c r="D140" s="232" t="s">
        <v>271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5">
        <v>40</v>
      </c>
      <c r="J140" s="226">
        <v>0</v>
      </c>
      <c r="K140" s="226">
        <v>0</v>
      </c>
      <c r="L140" s="226">
        <v>0</v>
      </c>
      <c r="M140" s="227">
        <v>0</v>
      </c>
    </row>
    <row r="141" spans="1:13">
      <c r="A141" s="128" t="s">
        <v>244</v>
      </c>
      <c r="B141" s="128" t="s">
        <v>43</v>
      </c>
      <c r="C141" s="128" t="s">
        <v>310</v>
      </c>
      <c r="D141" s="232" t="s">
        <v>271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5">
        <v>40</v>
      </c>
      <c r="J141" s="226">
        <v>0</v>
      </c>
      <c r="K141" s="226">
        <v>0</v>
      </c>
      <c r="L141" s="226">
        <v>0</v>
      </c>
      <c r="M141" s="227">
        <v>0</v>
      </c>
    </row>
    <row r="142" spans="1:13">
      <c r="A142" s="128" t="s">
        <v>244</v>
      </c>
      <c r="B142" s="128" t="s">
        <v>47</v>
      </c>
      <c r="C142" s="128" t="s">
        <v>314</v>
      </c>
      <c r="D142" s="232" t="s">
        <v>271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5">
        <v>40</v>
      </c>
      <c r="J142" s="226">
        <v>0</v>
      </c>
      <c r="K142" s="226">
        <v>0</v>
      </c>
      <c r="L142" s="226">
        <v>0</v>
      </c>
      <c r="M142" s="227">
        <v>0</v>
      </c>
    </row>
    <row r="143" spans="1:13">
      <c r="A143" s="128" t="s">
        <v>244</v>
      </c>
      <c r="B143" s="128" t="s">
        <v>10</v>
      </c>
      <c r="C143" s="128" t="s">
        <v>277</v>
      </c>
      <c r="D143" s="232" t="s">
        <v>271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5">
        <v>40</v>
      </c>
      <c r="J143" s="226">
        <v>0</v>
      </c>
      <c r="K143" s="226">
        <v>0</v>
      </c>
      <c r="L143" s="226">
        <v>0</v>
      </c>
      <c r="M143" s="227">
        <v>0</v>
      </c>
    </row>
    <row r="144" spans="1:13">
      <c r="A144" s="128" t="s">
        <v>244</v>
      </c>
      <c r="B144" s="128" t="s">
        <v>12</v>
      </c>
      <c r="C144" s="128" t="s">
        <v>279</v>
      </c>
      <c r="D144" s="232" t="s">
        <v>271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5">
        <v>40</v>
      </c>
      <c r="J144" s="226">
        <v>0</v>
      </c>
      <c r="K144" s="226">
        <v>0</v>
      </c>
      <c r="L144" s="226">
        <v>0</v>
      </c>
      <c r="M144" s="227">
        <v>0</v>
      </c>
    </row>
    <row r="145" spans="1:13">
      <c r="A145" s="128" t="s">
        <v>244</v>
      </c>
      <c r="B145" s="128" t="s">
        <v>14</v>
      </c>
      <c r="C145" s="128" t="s">
        <v>281</v>
      </c>
      <c r="D145" s="232" t="s">
        <v>271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5">
        <v>40</v>
      </c>
      <c r="J145" s="226">
        <v>0</v>
      </c>
      <c r="K145" s="226">
        <v>0</v>
      </c>
      <c r="L145" s="226">
        <v>0</v>
      </c>
      <c r="M145" s="227">
        <v>0</v>
      </c>
    </row>
    <row r="146" spans="1:13">
      <c r="A146" s="128" t="s">
        <v>244</v>
      </c>
      <c r="B146" s="128" t="s">
        <v>16</v>
      </c>
      <c r="C146" s="128" t="s">
        <v>283</v>
      </c>
      <c r="D146" s="232" t="s">
        <v>271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5">
        <v>40</v>
      </c>
      <c r="J146" s="226">
        <v>0</v>
      </c>
      <c r="K146" s="226">
        <v>0</v>
      </c>
      <c r="L146" s="226">
        <v>0</v>
      </c>
      <c r="M146" s="227">
        <v>0</v>
      </c>
    </row>
    <row r="147" spans="1:13">
      <c r="A147" s="128" t="s">
        <v>244</v>
      </c>
      <c r="B147" s="128" t="s">
        <v>36</v>
      </c>
      <c r="C147" s="128" t="s">
        <v>303</v>
      </c>
      <c r="D147" s="232" t="s">
        <v>271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5">
        <v>40</v>
      </c>
      <c r="J147" s="226">
        <v>0</v>
      </c>
      <c r="K147" s="226">
        <v>0</v>
      </c>
      <c r="L147" s="226">
        <v>0</v>
      </c>
      <c r="M147" s="227">
        <v>0</v>
      </c>
    </row>
    <row r="148" spans="1:13">
      <c r="A148" s="128" t="s">
        <v>244</v>
      </c>
      <c r="B148" s="128" t="s">
        <v>40</v>
      </c>
      <c r="C148" s="128" t="s">
        <v>307</v>
      </c>
      <c r="D148" s="232" t="s">
        <v>271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5">
        <v>40</v>
      </c>
      <c r="J148" s="226">
        <v>0</v>
      </c>
      <c r="K148" s="226">
        <v>0</v>
      </c>
      <c r="L148" s="226">
        <v>0</v>
      </c>
      <c r="M148" s="227">
        <v>0</v>
      </c>
    </row>
    <row r="149" spans="1:13">
      <c r="A149" s="128" t="s">
        <v>244</v>
      </c>
      <c r="B149" s="128" t="s">
        <v>44</v>
      </c>
      <c r="C149" s="128" t="s">
        <v>311</v>
      </c>
      <c r="D149" s="232" t="s">
        <v>271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5">
        <v>40</v>
      </c>
      <c r="J149" s="226">
        <v>0</v>
      </c>
      <c r="K149" s="226">
        <v>0</v>
      </c>
      <c r="L149" s="226">
        <v>0</v>
      </c>
      <c r="M149" s="227">
        <v>0</v>
      </c>
    </row>
    <row r="150" spans="1:13">
      <c r="A150" s="128" t="s">
        <v>244</v>
      </c>
      <c r="B150" s="128" t="s">
        <v>48</v>
      </c>
      <c r="C150" s="128" t="s">
        <v>315</v>
      </c>
      <c r="D150" s="232" t="s">
        <v>271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5">
        <v>40</v>
      </c>
      <c r="J150" s="226">
        <v>0</v>
      </c>
      <c r="K150" s="226">
        <v>0</v>
      </c>
      <c r="L150" s="226">
        <v>0</v>
      </c>
      <c r="M150" s="227">
        <v>0</v>
      </c>
    </row>
    <row r="151" spans="1:13">
      <c r="A151" s="128" t="s">
        <v>244</v>
      </c>
      <c r="B151" s="128" t="s">
        <v>52</v>
      </c>
      <c r="C151" s="128" t="s">
        <v>319</v>
      </c>
      <c r="D151" s="232" t="s">
        <v>271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5">
        <v>40</v>
      </c>
      <c r="J151" s="226">
        <v>0</v>
      </c>
      <c r="K151" s="226">
        <v>0</v>
      </c>
      <c r="L151" s="226">
        <v>0</v>
      </c>
      <c r="M151" s="227">
        <v>0</v>
      </c>
    </row>
    <row r="152" spans="1:13">
      <c r="A152" s="128" t="s">
        <v>244</v>
      </c>
      <c r="B152" s="128" t="s">
        <v>57</v>
      </c>
      <c r="C152" s="128" t="s">
        <v>324</v>
      </c>
      <c r="D152" s="232" t="s">
        <v>271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5">
        <v>40</v>
      </c>
      <c r="J152" s="226">
        <v>0</v>
      </c>
      <c r="K152" s="226">
        <v>0</v>
      </c>
      <c r="L152" s="226">
        <v>0</v>
      </c>
      <c r="M152" s="227">
        <v>0</v>
      </c>
    </row>
    <row r="153" spans="1:13">
      <c r="A153" s="128" t="s">
        <v>244</v>
      </c>
      <c r="B153" s="128" t="s">
        <v>62</v>
      </c>
      <c r="C153" s="128" t="s">
        <v>329</v>
      </c>
      <c r="D153" s="232" t="s">
        <v>271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5">
        <v>40</v>
      </c>
      <c r="J153" s="226">
        <v>0</v>
      </c>
      <c r="K153" s="226">
        <v>0</v>
      </c>
      <c r="L153" s="226">
        <v>0</v>
      </c>
      <c r="M153" s="227">
        <v>0</v>
      </c>
    </row>
    <row r="154" spans="1:13">
      <c r="A154" s="128" t="s">
        <v>244</v>
      </c>
      <c r="B154" s="128" t="s">
        <v>67</v>
      </c>
      <c r="C154" s="128" t="s">
        <v>334</v>
      </c>
      <c r="D154" s="232" t="s">
        <v>271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5">
        <v>40</v>
      </c>
      <c r="J154" s="226">
        <v>0</v>
      </c>
      <c r="K154" s="226">
        <v>0</v>
      </c>
      <c r="L154" s="226">
        <v>0</v>
      </c>
      <c r="M154" s="227">
        <v>0</v>
      </c>
    </row>
    <row r="155" spans="1:13">
      <c r="A155" s="128" t="s">
        <v>244</v>
      </c>
      <c r="B155" s="128" t="s">
        <v>53</v>
      </c>
      <c r="C155" s="128" t="s">
        <v>320</v>
      </c>
      <c r="D155" s="232" t="s">
        <v>271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5">
        <v>40</v>
      </c>
      <c r="J155" s="226">
        <v>0</v>
      </c>
      <c r="K155" s="226">
        <v>0</v>
      </c>
      <c r="L155" s="226">
        <v>0</v>
      </c>
      <c r="M155" s="227">
        <v>0</v>
      </c>
    </row>
    <row r="156" spans="1:13">
      <c r="A156" s="128" t="s">
        <v>244</v>
      </c>
      <c r="B156" s="128" t="s">
        <v>58</v>
      </c>
      <c r="C156" s="128" t="s">
        <v>325</v>
      </c>
      <c r="D156" s="232" t="s">
        <v>271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5">
        <v>40</v>
      </c>
      <c r="J156" s="226">
        <v>0</v>
      </c>
      <c r="K156" s="226">
        <v>0</v>
      </c>
      <c r="L156" s="226">
        <v>0</v>
      </c>
      <c r="M156" s="227">
        <v>0</v>
      </c>
    </row>
    <row r="157" spans="1:13">
      <c r="A157" s="128" t="s">
        <v>244</v>
      </c>
      <c r="B157" s="128" t="s">
        <v>63</v>
      </c>
      <c r="C157" s="128" t="s">
        <v>330</v>
      </c>
      <c r="D157" s="232" t="s">
        <v>271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5">
        <v>40</v>
      </c>
      <c r="J157" s="226">
        <v>0</v>
      </c>
      <c r="K157" s="226">
        <v>0</v>
      </c>
      <c r="L157" s="226">
        <v>0</v>
      </c>
      <c r="M157" s="227">
        <v>0</v>
      </c>
    </row>
    <row r="158" spans="1:13">
      <c r="A158" s="128" t="s">
        <v>244</v>
      </c>
      <c r="B158" s="128" t="s">
        <v>68</v>
      </c>
      <c r="C158" s="128" t="s">
        <v>335</v>
      </c>
      <c r="D158" s="232" t="s">
        <v>271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5">
        <v>40</v>
      </c>
      <c r="J158" s="226">
        <v>0</v>
      </c>
      <c r="K158" s="226">
        <v>0</v>
      </c>
      <c r="L158" s="226">
        <v>0</v>
      </c>
      <c r="M158" s="227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M17" sqref="M17"/>
    </sheetView>
  </sheetViews>
  <sheetFormatPr baseColWidth="10" defaultRowHeight="15"/>
  <cols>
    <col min="1" max="1" width="9.7109375" style="254" customWidth="1"/>
    <col min="2" max="2" width="7" style="255" customWidth="1"/>
    <col min="3" max="3" width="27.7109375" style="234" customWidth="1"/>
    <col min="4" max="10" width="8.85546875" style="234" customWidth="1"/>
    <col min="11" max="14" width="11.42578125" style="234" customWidth="1"/>
    <col min="15" max="15" width="12.28515625" style="128" customWidth="1"/>
    <col min="16" max="16" width="16.5703125" style="234" customWidth="1"/>
    <col min="17" max="16384" width="11.42578125" style="234"/>
  </cols>
  <sheetData>
    <row r="1" spans="1:16" s="233" customFormat="1">
      <c r="A1" s="131" t="s">
        <v>455</v>
      </c>
      <c r="B1" s="128"/>
      <c r="D1" s="214" t="s">
        <v>543</v>
      </c>
    </row>
    <row r="2" spans="1:16">
      <c r="A2" s="234"/>
      <c r="B2" s="233" t="s">
        <v>456</v>
      </c>
    </row>
    <row r="3" spans="1:16" ht="20.100000000000001" customHeight="1">
      <c r="A3" s="350" t="s">
        <v>247</v>
      </c>
      <c r="B3" s="235" t="s">
        <v>85</v>
      </c>
      <c r="C3" s="236"/>
      <c r="D3" s="352" t="s">
        <v>457</v>
      </c>
      <c r="E3" s="353"/>
      <c r="F3" s="353"/>
      <c r="G3" s="353"/>
      <c r="H3" s="353"/>
      <c r="I3" s="353"/>
      <c r="J3" s="354"/>
      <c r="K3" s="237"/>
      <c r="L3" s="237"/>
      <c r="M3" s="237"/>
      <c r="N3" s="237"/>
      <c r="O3" s="238"/>
      <c r="P3" s="237"/>
    </row>
    <row r="4" spans="1:16" ht="20.100000000000001" customHeight="1">
      <c r="A4" s="351"/>
      <c r="B4" s="239"/>
      <c r="C4" s="240"/>
      <c r="D4" s="241" t="s">
        <v>86</v>
      </c>
      <c r="E4" s="241" t="s">
        <v>87</v>
      </c>
      <c r="F4" s="241" t="s">
        <v>88</v>
      </c>
      <c r="G4" s="241" t="s">
        <v>89</v>
      </c>
      <c r="H4" s="241" t="s">
        <v>90</v>
      </c>
      <c r="I4" s="241" t="s">
        <v>91</v>
      </c>
      <c r="J4" s="241" t="s">
        <v>92</v>
      </c>
      <c r="K4" s="237"/>
      <c r="L4" s="237"/>
      <c r="M4" s="237"/>
      <c r="N4" s="237"/>
      <c r="O4" s="238"/>
      <c r="P4" s="237"/>
    </row>
    <row r="5" spans="1:16" ht="31.5" customHeight="1">
      <c r="A5" s="242"/>
      <c r="B5" s="243" t="s">
        <v>93</v>
      </c>
      <c r="C5" s="240"/>
      <c r="D5" s="241" t="s">
        <v>94</v>
      </c>
      <c r="E5" s="241" t="s">
        <v>95</v>
      </c>
      <c r="F5" s="241" t="s">
        <v>96</v>
      </c>
      <c r="G5" s="241" t="s">
        <v>97</v>
      </c>
      <c r="H5" s="241" t="s">
        <v>98</v>
      </c>
      <c r="I5" s="241" t="s">
        <v>99</v>
      </c>
      <c r="J5" s="241" t="s">
        <v>100</v>
      </c>
      <c r="K5" s="241" t="s">
        <v>101</v>
      </c>
      <c r="L5" s="242" t="s">
        <v>102</v>
      </c>
      <c r="M5" s="242" t="s">
        <v>103</v>
      </c>
      <c r="N5" s="244" t="s">
        <v>146</v>
      </c>
      <c r="O5" s="244" t="s">
        <v>249</v>
      </c>
      <c r="P5" s="245" t="s">
        <v>248</v>
      </c>
    </row>
    <row r="6" spans="1:16" ht="20.100000000000001" customHeight="1">
      <c r="A6" s="242"/>
      <c r="B6" s="243">
        <v>1</v>
      </c>
      <c r="C6" s="246">
        <v>2</v>
      </c>
      <c r="D6" s="241">
        <v>3</v>
      </c>
      <c r="E6" s="241">
        <v>4</v>
      </c>
      <c r="F6" s="241">
        <v>5</v>
      </c>
      <c r="G6" s="241">
        <v>6</v>
      </c>
      <c r="H6" s="241">
        <v>7</v>
      </c>
      <c r="I6" s="241">
        <v>8</v>
      </c>
      <c r="J6" s="241">
        <v>9</v>
      </c>
      <c r="K6" s="241">
        <v>10</v>
      </c>
      <c r="L6" s="241">
        <v>11</v>
      </c>
      <c r="M6" s="241">
        <v>12</v>
      </c>
      <c r="N6" s="241"/>
      <c r="O6" s="247"/>
      <c r="P6" s="241"/>
    </row>
    <row r="7" spans="1:16" ht="21" customHeight="1">
      <c r="A7" s="248">
        <v>1</v>
      </c>
      <c r="B7" s="241" t="s">
        <v>104</v>
      </c>
      <c r="C7" s="249" t="s">
        <v>105</v>
      </c>
      <c r="D7" s="250">
        <v>1</v>
      </c>
      <c r="E7" s="250">
        <v>1</v>
      </c>
      <c r="F7" s="250">
        <v>1</v>
      </c>
      <c r="G7" s="250">
        <v>1</v>
      </c>
      <c r="H7" s="250">
        <v>1</v>
      </c>
      <c r="I7" s="250">
        <v>1</v>
      </c>
      <c r="J7" s="250">
        <v>1</v>
      </c>
      <c r="K7" s="251">
        <v>1</v>
      </c>
      <c r="L7" s="241" t="s">
        <v>101</v>
      </c>
      <c r="M7" s="251">
        <f t="shared" ref="M7:M21" si="0">MAX(D7:J7)</f>
        <v>1</v>
      </c>
      <c r="N7" s="252" t="s">
        <v>367</v>
      </c>
      <c r="O7" s="247"/>
      <c r="P7" s="241"/>
    </row>
    <row r="8" spans="1:16" ht="21" customHeight="1">
      <c r="A8" s="248">
        <v>2</v>
      </c>
      <c r="B8" s="241" t="s">
        <v>106</v>
      </c>
      <c r="C8" s="249" t="s">
        <v>107</v>
      </c>
      <c r="D8" s="250">
        <v>1</v>
      </c>
      <c r="E8" s="250">
        <v>1</v>
      </c>
      <c r="F8" s="250">
        <v>1</v>
      </c>
      <c r="G8" s="250">
        <v>1</v>
      </c>
      <c r="H8" s="250">
        <v>1</v>
      </c>
      <c r="I8" s="250">
        <v>1</v>
      </c>
      <c r="J8" s="250">
        <v>1</v>
      </c>
      <c r="K8" s="251">
        <v>1</v>
      </c>
      <c r="L8" s="241" t="s">
        <v>101</v>
      </c>
      <c r="M8" s="251">
        <f t="shared" si="0"/>
        <v>1</v>
      </c>
      <c r="N8" s="252" t="s">
        <v>367</v>
      </c>
      <c r="O8" s="247"/>
      <c r="P8" s="241"/>
    </row>
    <row r="9" spans="1:16" ht="21" customHeight="1">
      <c r="A9" s="248">
        <v>3</v>
      </c>
      <c r="B9" s="241" t="s">
        <v>245</v>
      </c>
      <c r="C9" s="253" t="s">
        <v>4</v>
      </c>
      <c r="D9" s="250">
        <v>1</v>
      </c>
      <c r="E9" s="250">
        <v>1</v>
      </c>
      <c r="F9" s="250">
        <v>1</v>
      </c>
      <c r="G9" s="250">
        <v>1</v>
      </c>
      <c r="H9" s="250">
        <v>1</v>
      </c>
      <c r="I9" s="250">
        <v>1</v>
      </c>
      <c r="J9" s="250">
        <v>1</v>
      </c>
      <c r="K9" s="251">
        <v>1</v>
      </c>
      <c r="L9" s="241" t="s">
        <v>101</v>
      </c>
      <c r="M9" s="251">
        <f t="shared" ref="M9" si="1">MAX(D9:J9)</f>
        <v>1</v>
      </c>
      <c r="N9" s="252" t="s">
        <v>4</v>
      </c>
      <c r="O9" s="247"/>
      <c r="P9" s="241"/>
    </row>
    <row r="10" spans="1:16">
      <c r="D10" s="256"/>
      <c r="E10" s="256"/>
      <c r="F10" s="256"/>
      <c r="G10" s="256"/>
      <c r="H10" s="256"/>
      <c r="I10" s="256"/>
      <c r="J10" s="256"/>
      <c r="K10" s="256"/>
      <c r="M10" s="256"/>
    </row>
    <row r="11" spans="1:16" ht="38.25">
      <c r="A11" s="248">
        <v>4</v>
      </c>
      <c r="B11" s="241" t="s">
        <v>108</v>
      </c>
      <c r="C11" s="257" t="s">
        <v>109</v>
      </c>
      <c r="D11" s="250">
        <v>1.0353906654726432</v>
      </c>
      <c r="E11" s="250">
        <v>1.0522626697461936</v>
      </c>
      <c r="F11" s="250">
        <v>1.044930469815579</v>
      </c>
      <c r="G11" s="250">
        <v>1.0493599072216477</v>
      </c>
      <c r="H11" s="250">
        <v>0.98845974897770117</v>
      </c>
      <c r="I11" s="250">
        <v>0.88600563590711467</v>
      </c>
      <c r="J11" s="250">
        <v>0.94359090285912128</v>
      </c>
      <c r="K11" s="251">
        <v>1</v>
      </c>
      <c r="L11" s="241" t="s">
        <v>95</v>
      </c>
      <c r="M11" s="251">
        <f t="shared" si="0"/>
        <v>1.0522626697461936</v>
      </c>
      <c r="N11" s="252" t="s">
        <v>252</v>
      </c>
      <c r="O11" s="247" t="s">
        <v>250</v>
      </c>
      <c r="P11" s="241"/>
    </row>
    <row r="12" spans="1:16">
      <c r="A12" s="248">
        <v>5</v>
      </c>
      <c r="B12" s="241" t="s">
        <v>110</v>
      </c>
      <c r="C12" s="257" t="s">
        <v>111</v>
      </c>
      <c r="D12" s="250">
        <v>1.0358469949391176</v>
      </c>
      <c r="E12" s="250">
        <v>1.02316516044779</v>
      </c>
      <c r="F12" s="250">
        <v>1.0252246163717811</v>
      </c>
      <c r="G12" s="250">
        <v>1.0295353991682878</v>
      </c>
      <c r="H12" s="250">
        <v>1.0252886184395307</v>
      </c>
      <c r="I12" s="250">
        <v>0.96749527065836149</v>
      </c>
      <c r="J12" s="250">
        <v>0.89344393997513094</v>
      </c>
      <c r="K12" s="251">
        <v>1</v>
      </c>
      <c r="L12" s="241" t="s">
        <v>94</v>
      </c>
      <c r="M12" s="251">
        <f t="shared" si="0"/>
        <v>1.0358469949391176</v>
      </c>
      <c r="N12" s="252" t="s">
        <v>252</v>
      </c>
      <c r="O12" s="247" t="s">
        <v>250</v>
      </c>
      <c r="P12" s="241"/>
    </row>
    <row r="13" spans="1:16">
      <c r="A13" s="248">
        <v>6</v>
      </c>
      <c r="B13" s="241" t="s">
        <v>112</v>
      </c>
      <c r="C13" s="257" t="s">
        <v>113</v>
      </c>
      <c r="D13" s="250">
        <v>1.069856584592316</v>
      </c>
      <c r="E13" s="250">
        <v>1.0365322101473011</v>
      </c>
      <c r="F13" s="250">
        <v>0.99325571791923428</v>
      </c>
      <c r="G13" s="250">
        <v>0.99478284885862911</v>
      </c>
      <c r="H13" s="250">
        <v>1.065870859929255</v>
      </c>
      <c r="I13" s="250">
        <v>0.93624497196962364</v>
      </c>
      <c r="J13" s="250">
        <v>0.9034568065836398</v>
      </c>
      <c r="K13" s="251">
        <v>1</v>
      </c>
      <c r="L13" s="241" t="s">
        <v>94</v>
      </c>
      <c r="M13" s="251">
        <f t="shared" si="0"/>
        <v>1.069856584592316</v>
      </c>
      <c r="N13" s="252" t="s">
        <v>252</v>
      </c>
      <c r="O13" s="247" t="s">
        <v>250</v>
      </c>
      <c r="P13" s="241"/>
    </row>
    <row r="14" spans="1:16" ht="21" customHeight="1">
      <c r="A14" s="248">
        <v>7</v>
      </c>
      <c r="B14" s="241" t="s">
        <v>114</v>
      </c>
      <c r="C14" s="257" t="s">
        <v>115</v>
      </c>
      <c r="D14" s="250">
        <v>1.1052461688999999</v>
      </c>
      <c r="E14" s="250">
        <v>1.0857012791</v>
      </c>
      <c r="F14" s="250">
        <v>1.0377707872999999</v>
      </c>
      <c r="G14" s="250">
        <v>1.0621551300000001</v>
      </c>
      <c r="H14" s="250">
        <v>1.0265803347</v>
      </c>
      <c r="I14" s="250">
        <v>0.76289468090000001</v>
      </c>
      <c r="J14" s="250">
        <v>0.897991231</v>
      </c>
      <c r="K14" s="251">
        <v>1</v>
      </c>
      <c r="L14" s="241" t="s">
        <v>94</v>
      </c>
      <c r="M14" s="251">
        <f t="shared" si="0"/>
        <v>1.1052461688999999</v>
      </c>
      <c r="N14" s="252" t="s">
        <v>252</v>
      </c>
      <c r="O14" s="247" t="s">
        <v>250</v>
      </c>
      <c r="P14" s="241"/>
    </row>
    <row r="15" spans="1:16" ht="21" customHeight="1">
      <c r="A15" s="248">
        <v>8</v>
      </c>
      <c r="B15" s="241" t="s">
        <v>116</v>
      </c>
      <c r="C15" s="257" t="s">
        <v>117</v>
      </c>
      <c r="D15" s="250">
        <v>0.97669400949999996</v>
      </c>
      <c r="E15" s="250">
        <v>1.0389446761000001</v>
      </c>
      <c r="F15" s="250">
        <v>1.0028244082</v>
      </c>
      <c r="G15" s="250">
        <v>1.0161945715</v>
      </c>
      <c r="H15" s="250">
        <v>1.0023537775</v>
      </c>
      <c r="I15" s="250">
        <v>1.0043297858</v>
      </c>
      <c r="J15" s="250">
        <v>0.95836706260000004</v>
      </c>
      <c r="K15" s="251">
        <v>1</v>
      </c>
      <c r="L15" s="241" t="s">
        <v>95</v>
      </c>
      <c r="M15" s="251">
        <f t="shared" si="0"/>
        <v>1.0389446761000001</v>
      </c>
      <c r="N15" s="252" t="s">
        <v>252</v>
      </c>
      <c r="O15" s="247" t="s">
        <v>250</v>
      </c>
      <c r="P15" s="241"/>
    </row>
    <row r="16" spans="1:16" ht="21" customHeight="1">
      <c r="A16" s="248">
        <v>9</v>
      </c>
      <c r="B16" s="241" t="s">
        <v>122</v>
      </c>
      <c r="C16" s="257" t="s">
        <v>123</v>
      </c>
      <c r="D16" s="250">
        <v>1.2457482941</v>
      </c>
      <c r="E16" s="250">
        <v>1.2614994284000001</v>
      </c>
      <c r="F16" s="250">
        <v>1.2706602107</v>
      </c>
      <c r="G16" s="250">
        <v>1.2430339493</v>
      </c>
      <c r="H16" s="250">
        <v>1.1276335364000001</v>
      </c>
      <c r="I16" s="250">
        <v>0.38766183700000001</v>
      </c>
      <c r="J16" s="250">
        <v>0.46154420480000002</v>
      </c>
      <c r="K16" s="251">
        <v>1</v>
      </c>
      <c r="L16" s="241" t="s">
        <v>96</v>
      </c>
      <c r="M16" s="251">
        <f>MAX(D16:J16)</f>
        <v>1.2706602107</v>
      </c>
      <c r="N16" s="252" t="s">
        <v>252</v>
      </c>
      <c r="O16" s="247" t="s">
        <v>250</v>
      </c>
      <c r="P16" s="241"/>
    </row>
    <row r="17" spans="1:16" ht="21" customHeight="1">
      <c r="A17" s="248">
        <v>10</v>
      </c>
      <c r="B17" s="241" t="s">
        <v>118</v>
      </c>
      <c r="C17" s="258" t="s">
        <v>119</v>
      </c>
      <c r="D17" s="250">
        <v>0.93224741529999999</v>
      </c>
      <c r="E17" s="250">
        <v>0.98942188180000001</v>
      </c>
      <c r="F17" s="250">
        <v>1.0033248159999999</v>
      </c>
      <c r="G17" s="250">
        <v>1.0108926578999999</v>
      </c>
      <c r="H17" s="250">
        <v>1.0179736627</v>
      </c>
      <c r="I17" s="250">
        <v>1.0355882019</v>
      </c>
      <c r="J17" s="250">
        <v>1.0090728500999999</v>
      </c>
      <c r="K17" s="251">
        <v>1</v>
      </c>
      <c r="L17" s="241" t="s">
        <v>99</v>
      </c>
      <c r="M17" s="251">
        <f t="shared" si="0"/>
        <v>1.0355882019</v>
      </c>
      <c r="N17" s="252" t="s">
        <v>252</v>
      </c>
      <c r="O17" s="247" t="s">
        <v>251</v>
      </c>
      <c r="P17" s="241" t="s">
        <v>116</v>
      </c>
    </row>
    <row r="18" spans="1:16" ht="21" customHeight="1">
      <c r="A18" s="248">
        <v>11</v>
      </c>
      <c r="B18" s="241" t="s">
        <v>120</v>
      </c>
      <c r="C18" s="258" t="s">
        <v>121</v>
      </c>
      <c r="D18" s="250">
        <v>1.0847669095000001</v>
      </c>
      <c r="E18" s="250">
        <v>1.1211171725</v>
      </c>
      <c r="F18" s="250">
        <v>1.0769491269</v>
      </c>
      <c r="G18" s="250">
        <v>1.1353121304</v>
      </c>
      <c r="H18" s="250">
        <v>1.1401797148999999</v>
      </c>
      <c r="I18" s="250">
        <v>0.48522456780000001</v>
      </c>
      <c r="J18" s="250">
        <v>0.95842228019999998</v>
      </c>
      <c r="K18" s="251">
        <v>1</v>
      </c>
      <c r="L18" s="241" t="s">
        <v>98</v>
      </c>
      <c r="M18" s="251">
        <f t="shared" si="0"/>
        <v>1.1401797148999999</v>
      </c>
      <c r="N18" s="252" t="s">
        <v>252</v>
      </c>
      <c r="O18" s="247" t="s">
        <v>251</v>
      </c>
      <c r="P18" s="241" t="s">
        <v>122</v>
      </c>
    </row>
    <row r="19" spans="1:16" ht="21" customHeight="1">
      <c r="A19" s="248">
        <v>12</v>
      </c>
      <c r="B19" s="241" t="s">
        <v>124</v>
      </c>
      <c r="C19" s="258" t="s">
        <v>125</v>
      </c>
      <c r="D19" s="250">
        <v>0.98966305430000001</v>
      </c>
      <c r="E19" s="250">
        <v>0.96273607660000005</v>
      </c>
      <c r="F19" s="250">
        <v>1.0507108354000001</v>
      </c>
      <c r="G19" s="250">
        <v>1.0552346931000001</v>
      </c>
      <c r="H19" s="250">
        <v>1.0297033313999999</v>
      </c>
      <c r="I19" s="250">
        <v>0.97667108069999997</v>
      </c>
      <c r="J19" s="250">
        <v>0.93598879079999997</v>
      </c>
      <c r="K19" s="251">
        <v>1</v>
      </c>
      <c r="L19" s="241" t="s">
        <v>97</v>
      </c>
      <c r="M19" s="251">
        <f t="shared" si="0"/>
        <v>1.0552346931000001</v>
      </c>
      <c r="N19" s="252" t="s">
        <v>252</v>
      </c>
      <c r="O19" s="247" t="s">
        <v>251</v>
      </c>
      <c r="P19" s="241" t="s">
        <v>108</v>
      </c>
    </row>
    <row r="20" spans="1:16" ht="21" customHeight="1">
      <c r="A20" s="248">
        <v>13</v>
      </c>
      <c r="B20" s="241" t="s">
        <v>126</v>
      </c>
      <c r="C20" s="258" t="s">
        <v>127</v>
      </c>
      <c r="D20" s="250">
        <v>1.0213513196999999</v>
      </c>
      <c r="E20" s="250">
        <v>1.0865859003</v>
      </c>
      <c r="F20" s="250">
        <v>1.0719708746000001</v>
      </c>
      <c r="G20" s="250">
        <v>1.0557448463000001</v>
      </c>
      <c r="H20" s="250">
        <v>1.0116673967000001</v>
      </c>
      <c r="I20" s="250">
        <v>0.9001424455</v>
      </c>
      <c r="J20" s="250">
        <v>0.8511495026</v>
      </c>
      <c r="K20" s="251">
        <v>1</v>
      </c>
      <c r="L20" s="241" t="s">
        <v>94</v>
      </c>
      <c r="M20" s="251">
        <f t="shared" si="0"/>
        <v>1.0865859003</v>
      </c>
      <c r="N20" s="252" t="s">
        <v>252</v>
      </c>
      <c r="O20" s="247" t="s">
        <v>251</v>
      </c>
      <c r="P20" s="241" t="s">
        <v>110</v>
      </c>
    </row>
    <row r="21" spans="1:16" ht="24.75" customHeight="1">
      <c r="A21" s="248">
        <v>14</v>
      </c>
      <c r="B21" s="241" t="s">
        <v>128</v>
      </c>
      <c r="C21" s="258" t="s">
        <v>129</v>
      </c>
      <c r="D21" s="250">
        <f>D11</f>
        <v>1.0353906654726432</v>
      </c>
      <c r="E21" s="250">
        <f t="shared" ref="E21:K22" si="2">E11</f>
        <v>1.0522626697461936</v>
      </c>
      <c r="F21" s="250">
        <f t="shared" si="2"/>
        <v>1.044930469815579</v>
      </c>
      <c r="G21" s="250">
        <f t="shared" si="2"/>
        <v>1.0493599072216477</v>
      </c>
      <c r="H21" s="250">
        <f t="shared" si="2"/>
        <v>0.98845974897770117</v>
      </c>
      <c r="I21" s="250">
        <f t="shared" si="2"/>
        <v>0.88600563590711467</v>
      </c>
      <c r="J21" s="250">
        <f t="shared" si="2"/>
        <v>0.94359090285912128</v>
      </c>
      <c r="K21" s="251">
        <f t="shared" si="2"/>
        <v>1</v>
      </c>
      <c r="L21" s="241" t="s">
        <v>95</v>
      </c>
      <c r="M21" s="251">
        <f t="shared" si="0"/>
        <v>1.0522626697461936</v>
      </c>
      <c r="N21" s="252" t="s">
        <v>252</v>
      </c>
      <c r="O21" s="247" t="s">
        <v>251</v>
      </c>
      <c r="P21" s="241" t="s">
        <v>116</v>
      </c>
    </row>
    <row r="22" spans="1:16" ht="25.5">
      <c r="A22" s="248">
        <v>15</v>
      </c>
      <c r="B22" s="241" t="s">
        <v>130</v>
      </c>
      <c r="C22" s="259" t="s">
        <v>131</v>
      </c>
      <c r="D22" s="250">
        <v>1.03</v>
      </c>
      <c r="E22" s="250">
        <v>1.03</v>
      </c>
      <c r="F22" s="250">
        <v>1.02</v>
      </c>
      <c r="G22" s="250">
        <v>1.03</v>
      </c>
      <c r="H22" s="250">
        <v>1.01</v>
      </c>
      <c r="I22" s="250">
        <v>0.93</v>
      </c>
      <c r="J22" s="250">
        <v>0.94</v>
      </c>
      <c r="K22" s="251">
        <f t="shared" si="2"/>
        <v>1</v>
      </c>
      <c r="L22" s="241" t="s">
        <v>95</v>
      </c>
      <c r="M22" s="251">
        <f>MAX(D22:J22)</f>
        <v>1.03</v>
      </c>
      <c r="N22" s="252" t="s">
        <v>252</v>
      </c>
      <c r="O22" s="247" t="s">
        <v>251</v>
      </c>
      <c r="P22" s="241"/>
    </row>
    <row r="29" spans="1:16">
      <c r="M29" s="260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1</vt:i4>
      </vt:variant>
    </vt:vector>
  </HeadingPairs>
  <TitlesOfParts>
    <vt:vector size="9" baseType="lpstr">
      <vt:lpstr>Info</vt:lpstr>
      <vt:lpstr>Netzbetreiber</vt:lpstr>
      <vt:lpstr>SLP-Verfahren L-Gas</vt:lpstr>
      <vt:lpstr>SLP-Temp-Gebiet #01</vt:lpstr>
      <vt:lpstr>SLP-Profile</vt:lpstr>
      <vt:lpstr>SLP-Feiertage</vt:lpstr>
      <vt:lpstr>BDEW-Standard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Lamers, Sebastian</cp:lastModifiedBy>
  <cp:lastPrinted>2015-03-20T22:59:10Z</cp:lastPrinted>
  <dcterms:created xsi:type="dcterms:W3CDTF">2015-01-15T05:25:41Z</dcterms:created>
  <dcterms:modified xsi:type="dcterms:W3CDTF">2021-12-22T11:50:15Z</dcterms:modified>
</cp:coreProperties>
</file>